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项目情况 合计)" sheetId="4" r:id="rId1"/>
    <sheet name="项目情况 2017" sheetId="6" r:id="rId2"/>
    <sheet name="项目情况 2018--2" sheetId="7" r:id="rId3"/>
    <sheet name="项目情况 2019" sheetId="8" r:id="rId4"/>
  </sheets>
  <externalReferences>
    <externalReference r:id="rId5"/>
  </externalReferences>
  <definedNames>
    <definedName name="_xlnm.Print_Area" localSheetId="0">'项目情况 合计)'!$A$1:$S$14</definedName>
    <definedName name="_xlnm.Print_Area" localSheetId="1">'项目情况 2017'!$A$1:$AB$14</definedName>
    <definedName name="_xlnm.Print_Area" localSheetId="2">'项目情况 2018--2'!$A$1:$X$14</definedName>
    <definedName name="_xlnm.Print_Area" localSheetId="3">'项目情况 2019'!$A$1:$S$14</definedName>
  </definedNames>
  <calcPr calcId="144525"/>
</workbook>
</file>

<file path=xl/sharedStrings.xml><?xml version="1.0" encoding="utf-8"?>
<sst xmlns="http://schemas.openxmlformats.org/spreadsheetml/2006/main" count="173" uniqueCount="63">
  <si>
    <t>附件2：</t>
  </si>
  <si>
    <t>表1：</t>
  </si>
  <si>
    <t>贵州省煤矿智能机械化升级改造项目实施情况                                                                    （截至2019年4月30日）</t>
  </si>
  <si>
    <t xml:space="preserve"> 项目进度（单位：处）                                             </t>
  </si>
  <si>
    <t>资金拨付（单位：万元）</t>
  </si>
  <si>
    <t>所在市</t>
  </si>
  <si>
    <t xml:space="preserve">综合机械化                </t>
  </si>
  <si>
    <t xml:space="preserve">辅助系统智能化                </t>
  </si>
  <si>
    <t>采、掘工作面智能化                                        （含采煤、掘进、支护）</t>
  </si>
  <si>
    <t>预拨资金</t>
  </si>
  <si>
    <t>申报实施煤矿数目</t>
  </si>
  <si>
    <t>已验收</t>
  </si>
  <si>
    <t>待验收/待复验</t>
  </si>
  <si>
    <t>未完成</t>
  </si>
  <si>
    <t>年底前完成</t>
  </si>
  <si>
    <t>已拨付总资金</t>
  </si>
  <si>
    <t>申报2017年项目已拨付资金</t>
  </si>
  <si>
    <t>申报2018年项目已拨付资金</t>
  </si>
  <si>
    <t>申报2019年项目已拨付资金</t>
  </si>
  <si>
    <t>毕节市</t>
  </si>
  <si>
    <t>六盘水市</t>
  </si>
  <si>
    <t>黔西南州</t>
  </si>
  <si>
    <t>遵义市</t>
  </si>
  <si>
    <t>安顺市</t>
  </si>
  <si>
    <t>黔南州</t>
  </si>
  <si>
    <t>贵阳市</t>
  </si>
  <si>
    <t>合计</t>
  </si>
  <si>
    <t>表2：</t>
  </si>
  <si>
    <t>贵州省2017年申报煤矿智能机械化升级改造项目实施情况                                                                        （截至2019年4月30日）</t>
  </si>
  <si>
    <t>综合机械化</t>
  </si>
  <si>
    <t>辅助系统智能化</t>
  </si>
  <si>
    <t>采、掘工作面智能化                   （含采煤、掘进、支护）</t>
  </si>
  <si>
    <t>已补清算资金（b）</t>
  </si>
  <si>
    <t>应补资金（a）</t>
  </si>
  <si>
    <t>应拨付总资金（s）</t>
  </si>
  <si>
    <t>预拨至县财政资金（c）</t>
  </si>
  <si>
    <t>缓建项目预拨资金（d）</t>
  </si>
  <si>
    <t>第二批预拨资金</t>
  </si>
  <si>
    <t>拨付到矿资金</t>
  </si>
  <si>
    <t>到矿资金比例</t>
  </si>
  <si>
    <t>第一批清算资金</t>
  </si>
  <si>
    <t>第二批清算资金</t>
  </si>
  <si>
    <t>第三批清算资金</t>
  </si>
  <si>
    <t>奖励比例（1.15）</t>
  </si>
  <si>
    <t>奖励比例（1.3）</t>
  </si>
  <si>
    <t>已经拨付总额</t>
  </si>
  <si>
    <t>到矿占总额比</t>
  </si>
  <si>
    <t>2018年预拨资金</t>
  </si>
  <si>
    <t>拨付、清算金额总和</t>
  </si>
  <si>
    <t>表3:</t>
  </si>
  <si>
    <t>贵州省2018年申报煤矿智能机械化升级改造项目实施情况                                                           （截至2019年4月30日）</t>
  </si>
  <si>
    <t xml:space="preserve"> 项目进度（单位：处）                                           </t>
  </si>
  <si>
    <t>采、掘工作面智能化            （含采煤、掘进、支护）</t>
  </si>
  <si>
    <t>已补清算资金</t>
  </si>
  <si>
    <t>预拨至县财政资金</t>
  </si>
  <si>
    <t>注：</t>
  </si>
  <si>
    <t>2018年申报项目中，毕节市另有2处煤矿补充辅助系统智能化子系统；六盘水市另有1处煤矿补充辅助系统智能化子系统；黔西南州另有1处煤矿补充辅助系统智能化子系统。</t>
  </si>
  <si>
    <t>表4:</t>
  </si>
  <si>
    <t>贵州省2019年申报煤矿智能机械化升级改造项目实施情况                                                                  （截至2019年4月30日）</t>
  </si>
  <si>
    <t>缓建</t>
  </si>
  <si>
    <t>已      验收</t>
  </si>
  <si>
    <t>待       验收</t>
  </si>
  <si>
    <t>2019年申报项目中，毕节市另有1处煤矿新增一个综合机械化采面，2处煤矿补充辅助系统智能化子系统；六盘水市另有2处煤矿补充辅助系统智能化子系统。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</si>
</sst>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021;&#28304;\&#36827;&#23637;&#24773;&#20917;\&#26234;&#33021;&#26426;&#26800;&#21270;&#27178;&#36947;&#22270;\19.4.25&#27178;&#36947;&#22270;19&#24180;4&#26376;\&#27178;&#36947;&#22270;-19&#24180;4&#26376;-\&#19968;&#12289;&#24635;&#34920;&#19982;2017&#24180;&#30003;&#25253;&#39033;&#30446;&#27178;&#36947;&#22270;2019&#24180;4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情况 合计)"/>
      <sheetName val="项目情况 2017"/>
      <sheetName val="项目情况 2018--2"/>
      <sheetName val="项目情况 2019"/>
      <sheetName val="资金情况"/>
      <sheetName val="汇总图"/>
      <sheetName val="2017年汇总"/>
      <sheetName val="2018年汇总 (2)"/>
      <sheetName val="市州2017"/>
      <sheetName val="市州2018)"/>
      <sheetName val="17安顺机械"/>
      <sheetName val="17安顺智能"/>
      <sheetName val="17毕节机械"/>
      <sheetName val="17毕节智能"/>
      <sheetName val="17六盘水机械"/>
      <sheetName val="17六盘水智能"/>
      <sheetName val="17黔南州（智能）"/>
      <sheetName val="17黔西南机械"/>
      <sheetName val="17黔西南智能"/>
      <sheetName val="17遵义机械"/>
      <sheetName val="17遵义智能"/>
      <sheetName val="Sheet5"/>
    </sheetNames>
    <sheetDataSet>
      <sheetData sheetId="0"/>
      <sheetData sheetId="1"/>
      <sheetData sheetId="2"/>
      <sheetData sheetId="3"/>
      <sheetData sheetId="4">
        <row r="6">
          <cell r="D6">
            <v>6828.6</v>
          </cell>
        </row>
        <row r="6">
          <cell r="K6">
            <v>34009.6</v>
          </cell>
        </row>
        <row r="6">
          <cell r="N6">
            <v>3911</v>
          </cell>
        </row>
        <row r="6">
          <cell r="Q6">
            <v>17678</v>
          </cell>
        </row>
        <row r="6">
          <cell r="U6">
            <v>14271</v>
          </cell>
          <cell r="V6">
            <v>240</v>
          </cell>
          <cell r="W6">
            <v>65958.6</v>
          </cell>
        </row>
        <row r="7">
          <cell r="D7">
            <v>5912.64</v>
          </cell>
        </row>
        <row r="7">
          <cell r="K7">
            <v>22968.84</v>
          </cell>
        </row>
        <row r="7">
          <cell r="N7">
            <v>94.64</v>
          </cell>
        </row>
        <row r="7">
          <cell r="Q7">
            <v>15545.64</v>
          </cell>
        </row>
        <row r="7">
          <cell r="U7">
            <v>6626</v>
          </cell>
          <cell r="V7">
            <v>84</v>
          </cell>
          <cell r="W7">
            <v>45140.48</v>
          </cell>
        </row>
        <row r="8">
          <cell r="K8">
            <v>6149</v>
          </cell>
        </row>
        <row r="8">
          <cell r="N8">
            <v>1443</v>
          </cell>
        </row>
        <row r="8">
          <cell r="Q8">
            <v>8455</v>
          </cell>
        </row>
        <row r="8">
          <cell r="U8">
            <v>3642</v>
          </cell>
          <cell r="V8">
            <v>240</v>
          </cell>
          <cell r="W8">
            <v>18246</v>
          </cell>
        </row>
        <row r="9">
          <cell r="D9">
            <v>260</v>
          </cell>
        </row>
        <row r="9">
          <cell r="K9">
            <v>5737</v>
          </cell>
        </row>
        <row r="9">
          <cell r="N9">
            <v>312</v>
          </cell>
        </row>
        <row r="9">
          <cell r="Q9">
            <v>2574</v>
          </cell>
        </row>
        <row r="9">
          <cell r="U9">
            <v>3690</v>
          </cell>
          <cell r="V9">
            <v>0</v>
          </cell>
          <cell r="W9">
            <v>12001</v>
          </cell>
        </row>
        <row r="10">
          <cell r="K10">
            <v>1521</v>
          </cell>
        </row>
        <row r="10">
          <cell r="N10">
            <v>2714</v>
          </cell>
        </row>
        <row r="10">
          <cell r="Q10">
            <v>5904</v>
          </cell>
        </row>
        <row r="10">
          <cell r="U10">
            <v>1638</v>
          </cell>
          <cell r="V10">
            <v>0</v>
          </cell>
          <cell r="W10">
            <v>9063</v>
          </cell>
        </row>
        <row r="11">
          <cell r="D11">
            <v>210</v>
          </cell>
        </row>
        <row r="11">
          <cell r="K11">
            <v>1745</v>
          </cell>
        </row>
        <row r="11">
          <cell r="N11">
            <v>346</v>
          </cell>
        </row>
        <row r="11">
          <cell r="Q11">
            <v>1711</v>
          </cell>
        </row>
        <row r="11">
          <cell r="U11">
            <v>660</v>
          </cell>
          <cell r="V11">
            <v>0</v>
          </cell>
          <cell r="W11">
            <v>4116</v>
          </cell>
        </row>
        <row r="12">
          <cell r="K12">
            <v>0</v>
          </cell>
        </row>
        <row r="12">
          <cell r="N12">
            <v>190</v>
          </cell>
        </row>
        <row r="12">
          <cell r="Q12">
            <v>892</v>
          </cell>
        </row>
        <row r="12">
          <cell r="U12">
            <v>1831</v>
          </cell>
          <cell r="V12">
            <v>240</v>
          </cell>
          <cell r="W12">
            <v>2723</v>
          </cell>
        </row>
      </sheetData>
      <sheetData sheetId="5"/>
      <sheetData sheetId="6"/>
      <sheetData sheetId="7"/>
      <sheetData sheetId="8">
        <row r="9">
          <cell r="C9">
            <v>2</v>
          </cell>
          <cell r="D9">
            <v>2</v>
          </cell>
        </row>
        <row r="11">
          <cell r="C11">
            <v>1</v>
          </cell>
          <cell r="D11">
            <v>1</v>
          </cell>
        </row>
        <row r="13">
          <cell r="C13">
            <v>46</v>
          </cell>
        </row>
        <row r="14">
          <cell r="C14">
            <v>5</v>
          </cell>
        </row>
        <row r="15">
          <cell r="C15">
            <v>22</v>
          </cell>
        </row>
        <row r="17">
          <cell r="C17">
            <v>36</v>
          </cell>
        </row>
        <row r="18">
          <cell r="C18">
            <v>8</v>
          </cell>
        </row>
        <row r="19">
          <cell r="C19">
            <v>13</v>
          </cell>
        </row>
        <row r="21">
          <cell r="C21">
            <v>3</v>
          </cell>
        </row>
        <row r="25">
          <cell r="C25">
            <v>11</v>
          </cell>
        </row>
        <row r="27">
          <cell r="C27">
            <v>10</v>
          </cell>
        </row>
        <row r="29">
          <cell r="C29">
            <v>15</v>
          </cell>
        </row>
        <row r="31">
          <cell r="C31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view="pageBreakPreview" zoomScaleNormal="85" zoomScaleSheetLayoutView="100" workbookViewId="0">
      <selection activeCell="V3" sqref="V3"/>
    </sheetView>
  </sheetViews>
  <sheetFormatPr defaultColWidth="9" defaultRowHeight="13.5"/>
  <cols>
    <col min="1" max="1" width="12" style="1" customWidth="1"/>
    <col min="2" max="4" width="10.125" style="1" customWidth="1"/>
    <col min="5" max="5" width="10.125" style="1" hidden="1" customWidth="1"/>
    <col min="6" max="9" width="10.125" style="1" customWidth="1"/>
    <col min="10" max="10" width="10.125" style="1" hidden="1" customWidth="1"/>
    <col min="11" max="15" width="10.125" style="1" customWidth="1"/>
    <col min="16" max="19" width="24" style="1" hidden="1" customWidth="1"/>
    <col min="20" max="16376" width="9" style="1"/>
    <col min="16377" max="16384" width="9" style="2"/>
  </cols>
  <sheetData>
    <row r="1" ht="24" customHeight="1" spans="1:2">
      <c r="A1" s="3" t="s">
        <v>0</v>
      </c>
      <c r="B1" s="3"/>
    </row>
    <row r="2" ht="24" customHeight="1" spans="1:2">
      <c r="A2" s="3" t="s">
        <v>1</v>
      </c>
      <c r="B2" s="3"/>
    </row>
    <row r="3" ht="51" customHeight="1" spans="1:1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5" customHeight="1" spans="1:19">
      <c r="A4" s="5"/>
      <c r="B4" s="22" t="s">
        <v>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/>
      <c r="P4" s="6" t="s">
        <v>4</v>
      </c>
      <c r="Q4" s="6"/>
      <c r="R4" s="6"/>
      <c r="S4" s="6"/>
    </row>
    <row r="5" ht="39" customHeight="1" spans="1:19">
      <c r="A5" s="7" t="s">
        <v>5</v>
      </c>
      <c r="B5" s="7" t="s">
        <v>6</v>
      </c>
      <c r="C5" s="7"/>
      <c r="D5" s="7"/>
      <c r="E5" s="7"/>
      <c r="F5" s="7"/>
      <c r="G5" s="8" t="s">
        <v>7</v>
      </c>
      <c r="H5" s="9"/>
      <c r="I5" s="9"/>
      <c r="J5" s="9"/>
      <c r="K5" s="14"/>
      <c r="L5" s="8" t="s">
        <v>8</v>
      </c>
      <c r="M5" s="9"/>
      <c r="N5" s="9"/>
      <c r="O5" s="14"/>
      <c r="P5" s="7" t="s">
        <v>9</v>
      </c>
      <c r="Q5" s="7"/>
      <c r="R5" s="7"/>
      <c r="S5" s="7"/>
    </row>
    <row r="6" ht="45" customHeight="1" spans="1:19">
      <c r="A6" s="7"/>
      <c r="B6" s="7" t="s">
        <v>10</v>
      </c>
      <c r="C6" s="7" t="s">
        <v>11</v>
      </c>
      <c r="D6" s="7" t="s">
        <v>12</v>
      </c>
      <c r="E6" s="7"/>
      <c r="F6" s="7" t="s">
        <v>13</v>
      </c>
      <c r="G6" s="7" t="s">
        <v>10</v>
      </c>
      <c r="H6" s="7" t="s">
        <v>11</v>
      </c>
      <c r="I6" s="7" t="s">
        <v>12</v>
      </c>
      <c r="J6" s="7" t="s">
        <v>14</v>
      </c>
      <c r="K6" s="7" t="s">
        <v>13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15</v>
      </c>
      <c r="Q6" s="7" t="s">
        <v>16</v>
      </c>
      <c r="R6" s="7" t="s">
        <v>17</v>
      </c>
      <c r="S6" s="7" t="s">
        <v>18</v>
      </c>
    </row>
    <row r="7" ht="29" customHeight="1" spans="1:19">
      <c r="A7" s="7" t="s">
        <v>19</v>
      </c>
      <c r="B7" s="10">
        <f>'项目情况 2017'!B6+'项目情况 2018--2'!B6+'项目情况 2019'!B6</f>
        <v>64</v>
      </c>
      <c r="C7" s="11">
        <f>'项目情况 2017'!C6+'项目情况 2018--2'!C6+'项目情况 2019'!C6</f>
        <v>22</v>
      </c>
      <c r="D7" s="11">
        <f>'项目情况 2017'!D6+'项目情况 2018--2'!D6+'项目情况 2019'!D6</f>
        <v>1</v>
      </c>
      <c r="E7" s="11"/>
      <c r="F7" s="11">
        <f>B7-C7-D7</f>
        <v>41</v>
      </c>
      <c r="G7" s="10">
        <f>'项目情况 2017'!G6+'项目情况 2018--2'!G6+'项目情况 2019'!G6</f>
        <v>118</v>
      </c>
      <c r="H7" s="11">
        <f>'项目情况 2017'!H6+'项目情况 2018--2'!H6+'项目情况 2019'!H6</f>
        <v>60</v>
      </c>
      <c r="I7" s="11">
        <f>'项目情况 2017'!I6+'项目情况 2018--2'!I6+'项目情况 2019'!I6</f>
        <v>3</v>
      </c>
      <c r="J7" s="11"/>
      <c r="K7" s="11">
        <f>G7-H7-I7</f>
        <v>55</v>
      </c>
      <c r="L7" s="10">
        <f>'项目情况 2017'!L6+'项目情况 2018--2'!L6+'项目情况 2019'!L6</f>
        <v>11</v>
      </c>
      <c r="M7" s="11">
        <f>'项目情况 2017'!M6+'项目情况 2018--2'!M6+'项目情况 2019'!M6</f>
        <v>4</v>
      </c>
      <c r="N7" s="11">
        <f>'项目情况 2017'!N6+'项目情况 2018--2'!N6+'项目情况 2019'!N6</f>
        <v>0</v>
      </c>
      <c r="O7" s="11">
        <f t="shared" ref="O7:O13" si="0">L7-M7-N7</f>
        <v>7</v>
      </c>
      <c r="P7" s="11">
        <f>[1]资金情况!W6</f>
        <v>65958.6</v>
      </c>
      <c r="Q7" s="11">
        <f>[1]资金情况!K6</f>
        <v>34009.6</v>
      </c>
      <c r="R7" s="11">
        <f>[1]资金情况!Q6</f>
        <v>17678</v>
      </c>
      <c r="S7" s="15">
        <f>[1]资金情况!U6</f>
        <v>14271</v>
      </c>
    </row>
    <row r="8" ht="29" customHeight="1" spans="1:19">
      <c r="A8" s="7" t="s">
        <v>20</v>
      </c>
      <c r="B8" s="10">
        <f>'项目情况 2017'!B7+'项目情况 2018--2'!B7+'项目情况 2019'!B7</f>
        <v>27</v>
      </c>
      <c r="C8" s="11">
        <f>'项目情况 2017'!C7+'项目情况 2018--2'!C7+'项目情况 2019'!C7</f>
        <v>10</v>
      </c>
      <c r="D8" s="11">
        <f>'项目情况 2017'!D7+'项目情况 2018--2'!D7+'项目情况 2019'!D7</f>
        <v>2</v>
      </c>
      <c r="E8" s="11"/>
      <c r="F8" s="11">
        <f t="shared" ref="F8:F13" si="1">B8-C8-D8</f>
        <v>15</v>
      </c>
      <c r="G8" s="10">
        <f>'项目情况 2017'!G7+'项目情况 2018--2'!G7+'项目情况 2019'!G7</f>
        <v>97</v>
      </c>
      <c r="H8" s="11">
        <f>'项目情况 2017'!H7+'项目情况 2018--2'!H7+'项目情况 2019'!H7</f>
        <v>53</v>
      </c>
      <c r="I8" s="11">
        <f>'项目情况 2017'!I7+'项目情况 2018--2'!I7+'项目情况 2019'!I7</f>
        <v>5</v>
      </c>
      <c r="J8" s="11"/>
      <c r="K8" s="11">
        <f t="shared" ref="K8:K13" si="2">G8-H8-I8</f>
        <v>39</v>
      </c>
      <c r="L8" s="10">
        <f>'项目情况 2017'!L7+'项目情况 2018--2'!L7+'项目情况 2019'!L7</f>
        <v>10</v>
      </c>
      <c r="M8" s="11">
        <f>'项目情况 2017'!M7+'项目情况 2018--2'!M7+'项目情况 2019'!M7</f>
        <v>5</v>
      </c>
      <c r="N8" s="11">
        <f>'项目情况 2017'!N7+'项目情况 2018--2'!N7+'项目情况 2019'!N7</f>
        <v>0</v>
      </c>
      <c r="O8" s="11">
        <f t="shared" si="0"/>
        <v>5</v>
      </c>
      <c r="P8" s="11">
        <f>[1]资金情况!W7</f>
        <v>45140.48</v>
      </c>
      <c r="Q8" s="11">
        <f>[1]资金情况!K7</f>
        <v>22968.84</v>
      </c>
      <c r="R8" s="11">
        <f>[1]资金情况!Q7</f>
        <v>15545.64</v>
      </c>
      <c r="S8" s="15">
        <f>[1]资金情况!U7</f>
        <v>6626</v>
      </c>
    </row>
    <row r="9" ht="29" customHeight="1" spans="1:19">
      <c r="A9" s="7" t="s">
        <v>21</v>
      </c>
      <c r="B9" s="10">
        <f>'项目情况 2017'!B8+'项目情况 2018--2'!B8+'项目情况 2019'!B8</f>
        <v>22</v>
      </c>
      <c r="C9" s="11">
        <f>'项目情况 2017'!C8+'项目情况 2018--2'!C8+'项目情况 2019'!C8</f>
        <v>8</v>
      </c>
      <c r="D9" s="11">
        <f>'项目情况 2017'!D8+'项目情况 2018--2'!D8+'项目情况 2019'!D8</f>
        <v>1</v>
      </c>
      <c r="E9" s="11"/>
      <c r="F9" s="11">
        <f t="shared" si="1"/>
        <v>13</v>
      </c>
      <c r="G9" s="10">
        <f>'项目情况 2017'!G8+'项目情况 2018--2'!G8+'项目情况 2019'!G8</f>
        <v>41</v>
      </c>
      <c r="H9" s="11">
        <f>'项目情况 2017'!H8+'项目情况 2018--2'!H8+'项目情况 2019'!H8</f>
        <v>24</v>
      </c>
      <c r="I9" s="11">
        <f>'项目情况 2017'!I8+'项目情况 2018--2'!I8+'项目情况 2019'!I8</f>
        <v>0</v>
      </c>
      <c r="J9" s="11"/>
      <c r="K9" s="11">
        <f t="shared" si="2"/>
        <v>17</v>
      </c>
      <c r="L9" s="10">
        <f>'项目情况 2017'!L8+'项目情况 2018--2'!L8+'项目情况 2019'!L8</f>
        <v>0</v>
      </c>
      <c r="M9" s="11">
        <f>'项目情况 2017'!M8+'项目情况 2018--2'!M8+'项目情况 2019'!M8</f>
        <v>0</v>
      </c>
      <c r="N9" s="11">
        <f>'项目情况 2017'!N8+'项目情况 2018--2'!N8+'项目情况 2019'!N8</f>
        <v>0</v>
      </c>
      <c r="O9" s="11">
        <f t="shared" si="0"/>
        <v>0</v>
      </c>
      <c r="P9" s="11">
        <f>[1]资金情况!W8</f>
        <v>18246</v>
      </c>
      <c r="Q9" s="11">
        <f>[1]资金情况!K8</f>
        <v>6149</v>
      </c>
      <c r="R9" s="11">
        <f>[1]资金情况!Q8</f>
        <v>8455</v>
      </c>
      <c r="S9" s="15">
        <f>[1]资金情况!U8</f>
        <v>3642</v>
      </c>
    </row>
    <row r="10" ht="29" customHeight="1" spans="1:19">
      <c r="A10" s="7" t="s">
        <v>22</v>
      </c>
      <c r="B10" s="10">
        <f>'项目情况 2017'!B9+'项目情况 2018--2'!B9+'项目情况 2019'!B9</f>
        <v>7</v>
      </c>
      <c r="C10" s="11">
        <f>'项目情况 2017'!C9+'项目情况 2018--2'!C9+'项目情况 2019'!C9</f>
        <v>1</v>
      </c>
      <c r="D10" s="11">
        <f>'项目情况 2017'!D9+'项目情况 2018--2'!D9+'项目情况 2019'!D9</f>
        <v>0</v>
      </c>
      <c r="E10" s="11"/>
      <c r="F10" s="11">
        <f t="shared" si="1"/>
        <v>6</v>
      </c>
      <c r="G10" s="10">
        <f>'项目情况 2017'!G9+'项目情况 2018--2'!G9+'项目情况 2019'!G9</f>
        <v>35</v>
      </c>
      <c r="H10" s="11">
        <f>'项目情况 2017'!H9+'项目情况 2018--2'!H9+'项目情况 2019'!H9</f>
        <v>18</v>
      </c>
      <c r="I10" s="11">
        <f>'项目情况 2017'!I9+'项目情况 2018--2'!I9+'项目情况 2019'!I9</f>
        <v>0</v>
      </c>
      <c r="J10" s="11"/>
      <c r="K10" s="11">
        <f t="shared" si="2"/>
        <v>17</v>
      </c>
      <c r="L10" s="10">
        <f>'项目情况 2017'!L9+'项目情况 2018--2'!L9+'项目情况 2019'!L9</f>
        <v>1</v>
      </c>
      <c r="M10" s="11">
        <f>'项目情况 2017'!M9+'项目情况 2018--2'!M9+'项目情况 2019'!M9</f>
        <v>0</v>
      </c>
      <c r="N10" s="11">
        <f>'项目情况 2017'!N9+'项目情况 2018--2'!N9+'项目情况 2019'!N9</f>
        <v>0</v>
      </c>
      <c r="O10" s="11">
        <f t="shared" si="0"/>
        <v>1</v>
      </c>
      <c r="P10" s="11">
        <f>[1]资金情况!W9</f>
        <v>12001</v>
      </c>
      <c r="Q10" s="11">
        <f>[1]资金情况!K9</f>
        <v>5737</v>
      </c>
      <c r="R10" s="11">
        <f>[1]资金情况!Q9</f>
        <v>2574</v>
      </c>
      <c r="S10" s="15">
        <f>[1]资金情况!U9</f>
        <v>3690</v>
      </c>
    </row>
    <row r="11" ht="29" customHeight="1" spans="1:19">
      <c r="A11" s="7" t="s">
        <v>23</v>
      </c>
      <c r="B11" s="10">
        <f>'项目情况 2017'!B10+'项目情况 2018--2'!B10+'项目情况 2019'!B10</f>
        <v>4</v>
      </c>
      <c r="C11" s="11">
        <f>'项目情况 2017'!C10+'项目情况 2018--2'!C10+'项目情况 2019'!C10</f>
        <v>2</v>
      </c>
      <c r="D11" s="11">
        <f>'项目情况 2017'!D10+'项目情况 2018--2'!D10+'项目情况 2019'!D10</f>
        <v>0</v>
      </c>
      <c r="E11" s="11"/>
      <c r="F11" s="11">
        <f t="shared" si="1"/>
        <v>2</v>
      </c>
      <c r="G11" s="10">
        <f>'项目情况 2017'!G10+'项目情况 2018--2'!G10+'项目情况 2019'!G10</f>
        <v>18</v>
      </c>
      <c r="H11" s="11">
        <f>'项目情况 2017'!H10+'项目情况 2018--2'!H10+'项目情况 2019'!H10</f>
        <v>12</v>
      </c>
      <c r="I11" s="11">
        <f>'项目情况 2017'!I10+'项目情况 2018--2'!I10+'项目情况 2019'!I10</f>
        <v>0</v>
      </c>
      <c r="J11" s="11"/>
      <c r="K11" s="11">
        <f t="shared" si="2"/>
        <v>6</v>
      </c>
      <c r="L11" s="10">
        <f>'项目情况 2017'!L10+'项目情况 2018--2'!L10+'项目情况 2019'!L10</f>
        <v>0</v>
      </c>
      <c r="M11" s="11">
        <f>'项目情况 2017'!M10+'项目情况 2018--2'!M10+'项目情况 2019'!M10</f>
        <v>0</v>
      </c>
      <c r="N11" s="11">
        <f>'项目情况 2017'!N10+'项目情况 2018--2'!N10+'项目情况 2019'!N10</f>
        <v>0</v>
      </c>
      <c r="O11" s="11">
        <f t="shared" si="0"/>
        <v>0</v>
      </c>
      <c r="P11" s="11">
        <f>[1]资金情况!W10</f>
        <v>9063</v>
      </c>
      <c r="Q11" s="11">
        <f>[1]资金情况!K10</f>
        <v>1521</v>
      </c>
      <c r="R11" s="11">
        <f>[1]资金情况!Q10</f>
        <v>5904</v>
      </c>
      <c r="S11" s="15">
        <f>[1]资金情况!U10</f>
        <v>1638</v>
      </c>
    </row>
    <row r="12" ht="29" customHeight="1" spans="1:19">
      <c r="A12" s="7" t="s">
        <v>24</v>
      </c>
      <c r="B12" s="10">
        <f>'项目情况 2017'!B11+'项目情况 2018--2'!B11+'项目情况 2019'!B11</f>
        <v>0</v>
      </c>
      <c r="C12" s="11">
        <f>'项目情况 2017'!C11+'项目情况 2018--2'!C11+'项目情况 2019'!C11</f>
        <v>0</v>
      </c>
      <c r="D12" s="11">
        <f>'项目情况 2017'!D11+'项目情况 2018--2'!D11+'项目情况 2019'!D11</f>
        <v>0</v>
      </c>
      <c r="E12" s="11"/>
      <c r="F12" s="11">
        <f t="shared" si="1"/>
        <v>0</v>
      </c>
      <c r="G12" s="10">
        <f>'项目情况 2017'!G11+'项目情况 2018--2'!G11+'项目情况 2019'!G11</f>
        <v>10</v>
      </c>
      <c r="H12" s="11">
        <f>'项目情况 2017'!H11+'项目情况 2018--2'!H11+'项目情况 2019'!H11</f>
        <v>5</v>
      </c>
      <c r="I12" s="11">
        <f>'项目情况 2017'!I11+'项目情况 2018--2'!I11+'项目情况 2019'!I11</f>
        <v>0</v>
      </c>
      <c r="J12" s="11"/>
      <c r="K12" s="11">
        <f t="shared" si="2"/>
        <v>5</v>
      </c>
      <c r="L12" s="10">
        <f>'项目情况 2017'!L11+'项目情况 2018--2'!L11+'项目情况 2019'!L11</f>
        <v>0</v>
      </c>
      <c r="M12" s="11">
        <f>'项目情况 2017'!M11+'项目情况 2018--2'!M11+'项目情况 2019'!M11</f>
        <v>0</v>
      </c>
      <c r="N12" s="11">
        <f>'项目情况 2017'!N11+'项目情况 2018--2'!N11+'项目情况 2019'!N11</f>
        <v>0</v>
      </c>
      <c r="O12" s="11">
        <f t="shared" si="0"/>
        <v>0</v>
      </c>
      <c r="P12" s="11">
        <f>[1]资金情况!W11</f>
        <v>4116</v>
      </c>
      <c r="Q12" s="11">
        <f>[1]资金情况!K11</f>
        <v>1745</v>
      </c>
      <c r="R12" s="11">
        <f>[1]资金情况!Q11</f>
        <v>1711</v>
      </c>
      <c r="S12" s="15">
        <f>[1]资金情况!U11</f>
        <v>660</v>
      </c>
    </row>
    <row r="13" ht="29" customHeight="1" spans="1:19">
      <c r="A13" s="7" t="s">
        <v>25</v>
      </c>
      <c r="B13" s="10">
        <f>'项目情况 2017'!B12+'项目情况 2018--2'!B12+'项目情况 2019'!B12</f>
        <v>5</v>
      </c>
      <c r="C13" s="11">
        <f>'项目情况 2017'!C12+'项目情况 2018--2'!C12+'项目情况 2019'!C12</f>
        <v>1</v>
      </c>
      <c r="D13" s="11">
        <f>'项目情况 2017'!D12+'项目情况 2018--2'!D12+'项目情况 2019'!D12</f>
        <v>0</v>
      </c>
      <c r="E13" s="11"/>
      <c r="F13" s="11">
        <f t="shared" si="1"/>
        <v>4</v>
      </c>
      <c r="G13" s="10">
        <f>'项目情况 2017'!G12+'项目情况 2018--2'!G12+'项目情况 2019'!G12</f>
        <v>7</v>
      </c>
      <c r="H13" s="11">
        <f>'项目情况 2017'!H12+'项目情况 2018--2'!H12+'项目情况 2019'!H12</f>
        <v>1</v>
      </c>
      <c r="I13" s="11">
        <f>'项目情况 2017'!I12+'项目情况 2018--2'!I12+'项目情况 2019'!I12</f>
        <v>0</v>
      </c>
      <c r="J13" s="11"/>
      <c r="K13" s="11">
        <f t="shared" si="2"/>
        <v>6</v>
      </c>
      <c r="L13" s="10">
        <f>'项目情况 2017'!L12+'项目情况 2018--2'!L12+'项目情况 2019'!L12</f>
        <v>0</v>
      </c>
      <c r="M13" s="11">
        <f>'项目情况 2017'!M12+'项目情况 2018--2'!M12+'项目情况 2019'!M12</f>
        <v>0</v>
      </c>
      <c r="N13" s="11">
        <f>'项目情况 2017'!N12+'项目情况 2018--2'!N12+'项目情况 2019'!N12</f>
        <v>0</v>
      </c>
      <c r="O13" s="11">
        <f t="shared" si="0"/>
        <v>0</v>
      </c>
      <c r="P13" s="11">
        <f>[1]资金情况!W12</f>
        <v>2723</v>
      </c>
      <c r="Q13" s="11">
        <f>[1]资金情况!K12</f>
        <v>0</v>
      </c>
      <c r="R13" s="11">
        <f>[1]资金情况!Q12</f>
        <v>892</v>
      </c>
      <c r="S13" s="15">
        <f>[1]资金情况!U12</f>
        <v>1831</v>
      </c>
    </row>
    <row r="14" ht="29" customHeight="1" spans="1:19">
      <c r="A14" s="7" t="s">
        <v>26</v>
      </c>
      <c r="B14" s="10">
        <f>'项目情况 2017'!B13+'项目情况 2018--2'!B13+'项目情况 2019'!B13</f>
        <v>129</v>
      </c>
      <c r="C14" s="10">
        <f t="shared" ref="B14:I14" si="3">SUM(C7:C13)</f>
        <v>44</v>
      </c>
      <c r="D14" s="10">
        <f t="shared" si="3"/>
        <v>4</v>
      </c>
      <c r="E14" s="10"/>
      <c r="F14" s="10">
        <f t="shared" si="3"/>
        <v>81</v>
      </c>
      <c r="G14" s="10">
        <f t="shared" si="3"/>
        <v>326</v>
      </c>
      <c r="H14" s="10">
        <f t="shared" si="3"/>
        <v>173</v>
      </c>
      <c r="I14" s="10">
        <f t="shared" si="3"/>
        <v>8</v>
      </c>
      <c r="J14" s="10"/>
      <c r="K14" s="10">
        <f t="shared" ref="K14:S14" si="4">SUM(K7:K13)</f>
        <v>145</v>
      </c>
      <c r="L14" s="10">
        <f t="shared" si="4"/>
        <v>22</v>
      </c>
      <c r="M14" s="10">
        <f t="shared" si="4"/>
        <v>9</v>
      </c>
      <c r="N14" s="10">
        <f t="shared" si="4"/>
        <v>0</v>
      </c>
      <c r="O14" s="10">
        <f t="shared" si="4"/>
        <v>13</v>
      </c>
      <c r="P14" s="10">
        <f t="shared" si="4"/>
        <v>157248.08</v>
      </c>
      <c r="Q14" s="10">
        <f t="shared" si="4"/>
        <v>72130.44</v>
      </c>
      <c r="R14" s="10">
        <f t="shared" si="4"/>
        <v>52759.64</v>
      </c>
      <c r="S14" s="10">
        <f t="shared" si="4"/>
        <v>32358</v>
      </c>
    </row>
    <row r="15" ht="31" customHeight="1"/>
  </sheetData>
  <mergeCells count="10">
    <mergeCell ref="A1:B1"/>
    <mergeCell ref="A2:B2"/>
    <mergeCell ref="A3:S3"/>
    <mergeCell ref="B4:O4"/>
    <mergeCell ref="P4:S4"/>
    <mergeCell ref="B5:F5"/>
    <mergeCell ref="G5:K5"/>
    <mergeCell ref="L5:O5"/>
    <mergeCell ref="P5:S5"/>
    <mergeCell ref="A5:A6"/>
  </mergeCells>
  <printOptions horizontalCentered="1"/>
  <pageMargins left="0.393055555555556" right="0.236111111111111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view="pageBreakPreview" zoomScaleNormal="85" zoomScaleSheetLayoutView="100" workbookViewId="0">
      <selection activeCell="A2" sqref="A2:AB2"/>
    </sheetView>
  </sheetViews>
  <sheetFormatPr defaultColWidth="9" defaultRowHeight="13.5"/>
  <cols>
    <col min="1" max="1" width="11" style="1" customWidth="1"/>
    <col min="2" max="4" width="10.125" style="1" customWidth="1"/>
    <col min="5" max="5" width="10.125" style="1" hidden="1" customWidth="1"/>
    <col min="6" max="9" width="10.125" style="1" customWidth="1"/>
    <col min="10" max="10" width="10.125" style="1" hidden="1" customWidth="1"/>
    <col min="11" max="14" width="10.125" style="1" customWidth="1"/>
    <col min="15" max="15" width="10.125" style="1" hidden="1" customWidth="1"/>
    <col min="16" max="16" width="10.125" style="1" customWidth="1"/>
    <col min="17" max="20" width="10.2833333333333" style="1" hidden="1" customWidth="1"/>
    <col min="21" max="21" width="9.4" style="1" hidden="1" customWidth="1"/>
    <col min="22" max="24" width="9.375" style="1" hidden="1" customWidth="1"/>
    <col min="25" max="28" width="12.75" style="1" hidden="1" customWidth="1"/>
    <col min="29" max="29" width="9.375" style="1"/>
    <col min="30" max="30" width="9" style="1" hidden="1" customWidth="1"/>
    <col min="31" max="31" width="8.875" style="21" hidden="1" customWidth="1"/>
    <col min="32" max="33" width="9" style="1" hidden="1" customWidth="1"/>
    <col min="34" max="16384" width="9" style="1"/>
  </cols>
  <sheetData>
    <row r="1" ht="24" customHeight="1" spans="1:2">
      <c r="A1" s="3" t="s">
        <v>27</v>
      </c>
      <c r="B1" s="3"/>
    </row>
    <row r="2" ht="51" customHeight="1" spans="1:28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25" customHeight="1" spans="1:29">
      <c r="A3" s="5"/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 t="s">
        <v>4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15"/>
    </row>
    <row r="4" ht="38" customHeight="1" spans="1:29">
      <c r="A4" s="7" t="s">
        <v>5</v>
      </c>
      <c r="B4" s="7" t="s">
        <v>29</v>
      </c>
      <c r="C4" s="7"/>
      <c r="D4" s="7"/>
      <c r="E4" s="7"/>
      <c r="F4" s="7"/>
      <c r="G4" s="7" t="s">
        <v>30</v>
      </c>
      <c r="H4" s="7"/>
      <c r="I4" s="7"/>
      <c r="J4" s="7"/>
      <c r="K4" s="7"/>
      <c r="L4" s="7" t="s">
        <v>31</v>
      </c>
      <c r="M4" s="7"/>
      <c r="N4" s="7"/>
      <c r="O4" s="7"/>
      <c r="P4" s="7"/>
      <c r="Q4" s="7" t="s">
        <v>9</v>
      </c>
      <c r="R4" s="7"/>
      <c r="S4" s="7"/>
      <c r="T4" s="7"/>
      <c r="U4" s="7"/>
      <c r="V4" s="7" t="s">
        <v>32</v>
      </c>
      <c r="W4" s="7"/>
      <c r="X4" s="7"/>
      <c r="Y4" s="16" t="s">
        <v>33</v>
      </c>
      <c r="Z4" s="16"/>
      <c r="AA4" s="16" t="s">
        <v>34</v>
      </c>
      <c r="AB4" s="16"/>
      <c r="AC4" s="15"/>
    </row>
    <row r="5" ht="48" customHeight="1" spans="1:33">
      <c r="A5" s="7"/>
      <c r="B5" s="7" t="s">
        <v>10</v>
      </c>
      <c r="C5" s="7" t="s">
        <v>11</v>
      </c>
      <c r="D5" s="7" t="s">
        <v>12</v>
      </c>
      <c r="E5" s="7"/>
      <c r="F5" s="7" t="s">
        <v>13</v>
      </c>
      <c r="G5" s="7" t="s">
        <v>10</v>
      </c>
      <c r="H5" s="7" t="s">
        <v>11</v>
      </c>
      <c r="I5" s="7" t="s">
        <v>12</v>
      </c>
      <c r="J5" s="7" t="s">
        <v>14</v>
      </c>
      <c r="K5" s="7" t="s">
        <v>13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13</v>
      </c>
      <c r="Q5" s="7" t="s">
        <v>35</v>
      </c>
      <c r="R5" s="7" t="s">
        <v>36</v>
      </c>
      <c r="S5" s="7" t="s">
        <v>37</v>
      </c>
      <c r="T5" s="7" t="s">
        <v>38</v>
      </c>
      <c r="U5" s="7" t="s">
        <v>39</v>
      </c>
      <c r="V5" s="7" t="s">
        <v>40</v>
      </c>
      <c r="W5" s="7" t="s">
        <v>41</v>
      </c>
      <c r="X5" s="7" t="s">
        <v>42</v>
      </c>
      <c r="Y5" s="16" t="s">
        <v>43</v>
      </c>
      <c r="Z5" s="16" t="s">
        <v>44</v>
      </c>
      <c r="AA5" s="16" t="s">
        <v>43</v>
      </c>
      <c r="AB5" s="16" t="s">
        <v>44</v>
      </c>
      <c r="AD5" s="1" t="s">
        <v>45</v>
      </c>
      <c r="AE5" s="21" t="s">
        <v>46</v>
      </c>
      <c r="AF5" s="1" t="s">
        <v>47</v>
      </c>
      <c r="AG5" s="1" t="s">
        <v>48</v>
      </c>
    </row>
    <row r="6" ht="27" customHeight="1" spans="1:33">
      <c r="A6" s="7" t="s">
        <v>19</v>
      </c>
      <c r="B6" s="10">
        <f>[1]市州2017!C15</f>
        <v>22</v>
      </c>
      <c r="C6" s="11">
        <f>14+2+1</f>
        <v>17</v>
      </c>
      <c r="D6" s="11">
        <f>3-2-1</f>
        <v>0</v>
      </c>
      <c r="E6" s="11"/>
      <c r="F6" s="11">
        <f t="shared" ref="F6:F9" si="0">B6-C6-D6</f>
        <v>5</v>
      </c>
      <c r="G6" s="10">
        <f>[1]市州2017!C13</f>
        <v>46</v>
      </c>
      <c r="H6" s="11">
        <f>32+5+5</f>
        <v>42</v>
      </c>
      <c r="I6" s="11">
        <f>12-5-5</f>
        <v>2</v>
      </c>
      <c r="J6" s="11"/>
      <c r="K6" s="11">
        <f t="shared" ref="K6:K11" si="1">G6-H6-I6</f>
        <v>2</v>
      </c>
      <c r="L6" s="10">
        <f>[1]市州2017!C14</f>
        <v>5</v>
      </c>
      <c r="M6" s="11">
        <v>3</v>
      </c>
      <c r="N6" s="11">
        <v>0</v>
      </c>
      <c r="O6" s="11"/>
      <c r="P6" s="11">
        <f>L6-M6-N6</f>
        <v>2</v>
      </c>
      <c r="Q6" s="11">
        <v>19328</v>
      </c>
      <c r="R6" s="11">
        <v>84</v>
      </c>
      <c r="S6" s="11">
        <f>[1]资金情况!D6</f>
        <v>6828.6</v>
      </c>
      <c r="T6" s="11">
        <v>16451.22</v>
      </c>
      <c r="U6" s="17">
        <f t="shared" ref="U6:U11" si="2">T6/Q6</f>
        <v>0.851159975165563</v>
      </c>
      <c r="V6" s="11">
        <v>3669</v>
      </c>
      <c r="W6" s="11">
        <v>1256</v>
      </c>
      <c r="X6" s="11">
        <v>2928</v>
      </c>
      <c r="Y6" s="11">
        <f t="shared" ref="Y6:Y11" si="3">AA6-V6-W6-(Q6-R6)</f>
        <v>10194.04</v>
      </c>
      <c r="Z6" s="11">
        <f t="shared" ref="Z6:Z11" si="4">AB6-V6-W6-(Q6-R6)</f>
        <v>13412.44</v>
      </c>
      <c r="AA6" s="11">
        <v>34363.04</v>
      </c>
      <c r="AB6" s="11">
        <f>28908.8*1.3</f>
        <v>37581.44</v>
      </c>
      <c r="AD6" s="1">
        <f t="shared" ref="AD6:AD13" si="5">Q6+V6+W6</f>
        <v>24253</v>
      </c>
      <c r="AE6" s="21">
        <f t="shared" ref="AE6:AE13" si="6">T6/AD6</f>
        <v>0.67831690924834</v>
      </c>
      <c r="AF6" s="1">
        <v>13182</v>
      </c>
      <c r="AG6" s="1">
        <f t="shared" ref="AG6:AG12" si="7">AF6+AD6</f>
        <v>37435</v>
      </c>
    </row>
    <row r="7" ht="27" customHeight="1" spans="1:33">
      <c r="A7" s="7" t="s">
        <v>20</v>
      </c>
      <c r="B7" s="10">
        <f>[1]市州2017!C19</f>
        <v>13</v>
      </c>
      <c r="C7" s="11">
        <f>8+1</f>
        <v>9</v>
      </c>
      <c r="D7" s="11">
        <f>3-1</f>
        <v>2</v>
      </c>
      <c r="E7" s="11"/>
      <c r="F7" s="11">
        <f t="shared" si="0"/>
        <v>2</v>
      </c>
      <c r="G7" s="10">
        <f>[1]市州2017!C17</f>
        <v>36</v>
      </c>
      <c r="H7" s="11">
        <f>14+9+9</f>
        <v>32</v>
      </c>
      <c r="I7" s="11">
        <v>1</v>
      </c>
      <c r="J7" s="11"/>
      <c r="K7" s="11">
        <f t="shared" si="1"/>
        <v>3</v>
      </c>
      <c r="L7" s="10">
        <f>[1]市州2017!C18</f>
        <v>8</v>
      </c>
      <c r="M7" s="11">
        <v>4</v>
      </c>
      <c r="N7" s="11">
        <v>0</v>
      </c>
      <c r="O7" s="11"/>
      <c r="P7" s="11">
        <f>L7-M7-N7</f>
        <v>4</v>
      </c>
      <c r="Q7" s="11">
        <v>12029</v>
      </c>
      <c r="R7" s="11">
        <f>286+95</f>
        <v>381</v>
      </c>
      <c r="S7" s="11">
        <f>[1]资金情况!D7</f>
        <v>5912.64</v>
      </c>
      <c r="T7" s="11">
        <v>8648.1</v>
      </c>
      <c r="U7" s="17">
        <f t="shared" si="2"/>
        <v>0.718937567545099</v>
      </c>
      <c r="V7" s="11">
        <v>4094.2</v>
      </c>
      <c r="W7" s="11">
        <v>169</v>
      </c>
      <c r="X7" s="11">
        <v>764</v>
      </c>
      <c r="Y7" s="11">
        <f t="shared" si="3"/>
        <v>7498.72</v>
      </c>
      <c r="Z7" s="11">
        <f t="shared" si="4"/>
        <v>9603.64</v>
      </c>
      <c r="AA7" s="11">
        <v>23409.92</v>
      </c>
      <c r="AB7" s="11">
        <f>19626.8*1.3</f>
        <v>25514.84</v>
      </c>
      <c r="AD7" s="1">
        <f t="shared" si="5"/>
        <v>16292.2</v>
      </c>
      <c r="AE7" s="21">
        <f t="shared" si="6"/>
        <v>0.530812290543941</v>
      </c>
      <c r="AF7" s="1">
        <v>15326</v>
      </c>
      <c r="AG7" s="1">
        <f t="shared" si="7"/>
        <v>31618.2</v>
      </c>
    </row>
    <row r="8" ht="27" customHeight="1" spans="1:33">
      <c r="A8" s="7" t="s">
        <v>21</v>
      </c>
      <c r="B8" s="10">
        <f>[1]市州2017!C27</f>
        <v>10</v>
      </c>
      <c r="C8" s="11">
        <f>5+1+1</f>
        <v>7</v>
      </c>
      <c r="D8" s="11">
        <f>3-1-1</f>
        <v>1</v>
      </c>
      <c r="E8" s="11"/>
      <c r="F8" s="11">
        <f t="shared" si="0"/>
        <v>2</v>
      </c>
      <c r="G8" s="10">
        <f>[1]市州2017!C25</f>
        <v>11</v>
      </c>
      <c r="H8" s="11">
        <f>7+3</f>
        <v>10</v>
      </c>
      <c r="I8" s="11">
        <f>3-3</f>
        <v>0</v>
      </c>
      <c r="J8" s="11"/>
      <c r="K8" s="11">
        <f t="shared" si="1"/>
        <v>1</v>
      </c>
      <c r="L8" s="10">
        <f t="shared" ref="L8:L12" si="8">SUM(M8:P8)</f>
        <v>0</v>
      </c>
      <c r="M8" s="11"/>
      <c r="N8" s="11"/>
      <c r="O8" s="11"/>
      <c r="P8" s="11"/>
      <c r="Q8" s="11">
        <v>3983</v>
      </c>
      <c r="R8" s="11"/>
      <c r="S8" s="11">
        <f>[1]资金情况!D8</f>
        <v>0</v>
      </c>
      <c r="T8" s="11">
        <v>3983</v>
      </c>
      <c r="U8" s="17">
        <f t="shared" si="2"/>
        <v>1</v>
      </c>
      <c r="V8" s="11">
        <v>1361</v>
      </c>
      <c r="W8" s="11"/>
      <c r="X8" s="11">
        <v>805</v>
      </c>
      <c r="Y8" s="11">
        <f t="shared" si="3"/>
        <v>2819.5</v>
      </c>
      <c r="Z8" s="11">
        <f t="shared" si="4"/>
        <v>3535</v>
      </c>
      <c r="AA8" s="11">
        <v>8163.5</v>
      </c>
      <c r="AB8" s="11">
        <f>6830*1.3</f>
        <v>8879</v>
      </c>
      <c r="AD8" s="1">
        <f t="shared" si="5"/>
        <v>5344</v>
      </c>
      <c r="AE8" s="21">
        <f t="shared" si="6"/>
        <v>0.745321856287425</v>
      </c>
      <c r="AF8" s="1">
        <v>7012</v>
      </c>
      <c r="AG8" s="1">
        <f t="shared" si="7"/>
        <v>12356</v>
      </c>
    </row>
    <row r="9" ht="27" customHeight="1" spans="1:33">
      <c r="A9" s="7" t="s">
        <v>22</v>
      </c>
      <c r="B9" s="10">
        <f>[1]市州2017!C31</f>
        <v>1</v>
      </c>
      <c r="C9" s="11"/>
      <c r="D9" s="11"/>
      <c r="E9" s="11"/>
      <c r="F9" s="11">
        <f t="shared" si="0"/>
        <v>1</v>
      </c>
      <c r="G9" s="10">
        <f>[1]市州2017!C29</f>
        <v>15</v>
      </c>
      <c r="H9" s="11">
        <f>8+2+3</f>
        <v>13</v>
      </c>
      <c r="I9" s="11">
        <f>5-2-3</f>
        <v>0</v>
      </c>
      <c r="J9" s="11"/>
      <c r="K9" s="11">
        <f t="shared" si="1"/>
        <v>2</v>
      </c>
      <c r="L9" s="10">
        <v>1</v>
      </c>
      <c r="M9" s="11"/>
      <c r="N9" s="11"/>
      <c r="O9" s="11"/>
      <c r="P9" s="11">
        <v>1</v>
      </c>
      <c r="Q9" s="11">
        <v>4305</v>
      </c>
      <c r="R9" s="11">
        <v>170</v>
      </c>
      <c r="S9" s="11">
        <f>[1]资金情况!D9</f>
        <v>260</v>
      </c>
      <c r="T9" s="11">
        <v>3617</v>
      </c>
      <c r="U9" s="17">
        <f t="shared" si="2"/>
        <v>0.840185830429733</v>
      </c>
      <c r="V9" s="11">
        <v>298</v>
      </c>
      <c r="W9" s="11"/>
      <c r="X9" s="11">
        <v>874</v>
      </c>
      <c r="Y9" s="11">
        <f t="shared" si="3"/>
        <v>3743.5</v>
      </c>
      <c r="Z9" s="11">
        <f t="shared" si="4"/>
        <v>4732</v>
      </c>
      <c r="AA9" s="11">
        <v>8176.5</v>
      </c>
      <c r="AB9" s="11">
        <f>7050*1.3</f>
        <v>9165</v>
      </c>
      <c r="AD9" s="1">
        <f t="shared" si="5"/>
        <v>4603</v>
      </c>
      <c r="AE9" s="21">
        <f t="shared" si="6"/>
        <v>0.785791874864219</v>
      </c>
      <c r="AF9" s="1">
        <v>2262</v>
      </c>
      <c r="AG9" s="1">
        <f t="shared" si="7"/>
        <v>6865</v>
      </c>
    </row>
    <row r="10" ht="27" customHeight="1" spans="1:33">
      <c r="A10" s="7" t="s">
        <v>23</v>
      </c>
      <c r="B10" s="10">
        <f>[1]市州2017!C11</f>
        <v>1</v>
      </c>
      <c r="C10" s="11">
        <f>[1]市州2017!D11</f>
        <v>1</v>
      </c>
      <c r="D10" s="11"/>
      <c r="E10" s="11"/>
      <c r="F10" s="11"/>
      <c r="G10" s="10">
        <f>[1]市州2017!C9</f>
        <v>2</v>
      </c>
      <c r="H10" s="11">
        <f>[1]市州2017!D9</f>
        <v>2</v>
      </c>
      <c r="I10" s="11"/>
      <c r="J10" s="11"/>
      <c r="K10" s="11">
        <f t="shared" si="1"/>
        <v>0</v>
      </c>
      <c r="L10" s="10">
        <f t="shared" si="8"/>
        <v>0</v>
      </c>
      <c r="M10" s="11"/>
      <c r="N10" s="11"/>
      <c r="O10" s="11"/>
      <c r="P10" s="11"/>
      <c r="Q10" s="11">
        <v>827</v>
      </c>
      <c r="R10" s="11"/>
      <c r="S10" s="11">
        <f>[1]资金情况!D10</f>
        <v>0</v>
      </c>
      <c r="T10" s="11">
        <v>1521</v>
      </c>
      <c r="U10" s="17">
        <f t="shared" si="2"/>
        <v>1.83917775090689</v>
      </c>
      <c r="V10" s="11">
        <v>694</v>
      </c>
      <c r="W10" s="11"/>
      <c r="X10" s="11"/>
      <c r="Y10" s="11">
        <f t="shared" si="3"/>
        <v>0</v>
      </c>
      <c r="Z10" s="11">
        <f t="shared" si="4"/>
        <v>0</v>
      </c>
      <c r="AA10" s="11">
        <v>1521</v>
      </c>
      <c r="AB10" s="11">
        <f>1170*1.3</f>
        <v>1521</v>
      </c>
      <c r="AD10" s="1">
        <f t="shared" si="5"/>
        <v>1521</v>
      </c>
      <c r="AE10" s="21">
        <f t="shared" si="6"/>
        <v>1</v>
      </c>
      <c r="AF10" s="1">
        <v>3190</v>
      </c>
      <c r="AG10" s="1">
        <f t="shared" si="7"/>
        <v>4711</v>
      </c>
    </row>
    <row r="11" ht="27" customHeight="1" spans="1:33">
      <c r="A11" s="7" t="s">
        <v>24</v>
      </c>
      <c r="B11" s="10">
        <f>SUM(C11:F11)</f>
        <v>0</v>
      </c>
      <c r="C11" s="11"/>
      <c r="D11" s="11"/>
      <c r="E11" s="11"/>
      <c r="F11" s="11"/>
      <c r="G11" s="10">
        <f>[1]市州2017!C21</f>
        <v>3</v>
      </c>
      <c r="H11" s="11">
        <v>3</v>
      </c>
      <c r="I11" s="11">
        <v>0</v>
      </c>
      <c r="J11" s="11"/>
      <c r="K11" s="11">
        <f t="shared" si="1"/>
        <v>0</v>
      </c>
      <c r="L11" s="10">
        <f t="shared" si="8"/>
        <v>0</v>
      </c>
      <c r="M11" s="11"/>
      <c r="N11" s="11"/>
      <c r="O11" s="11"/>
      <c r="P11" s="11"/>
      <c r="Q11" s="11">
        <v>900</v>
      </c>
      <c r="R11" s="11"/>
      <c r="S11" s="11">
        <f>[1]资金情况!D11</f>
        <v>210</v>
      </c>
      <c r="T11" s="11">
        <v>1224</v>
      </c>
      <c r="U11" s="17">
        <f t="shared" si="2"/>
        <v>1.36</v>
      </c>
      <c r="V11" s="11">
        <v>635</v>
      </c>
      <c r="W11" s="11"/>
      <c r="X11" s="11"/>
      <c r="Y11" s="11">
        <f t="shared" si="3"/>
        <v>219</v>
      </c>
      <c r="Z11" s="11">
        <f t="shared" si="4"/>
        <v>285</v>
      </c>
      <c r="AA11" s="11">
        <v>1754</v>
      </c>
      <c r="AB11" s="11">
        <f>1400*1.3</f>
        <v>1820</v>
      </c>
      <c r="AD11" s="1">
        <f t="shared" si="5"/>
        <v>1535</v>
      </c>
      <c r="AE11" s="21">
        <f t="shared" si="6"/>
        <v>0.797394136807818</v>
      </c>
      <c r="AF11" s="1">
        <v>1365</v>
      </c>
      <c r="AG11" s="1">
        <f t="shared" si="7"/>
        <v>2900</v>
      </c>
    </row>
    <row r="12" ht="27" customHeight="1" spans="1:33">
      <c r="A12" s="7" t="s">
        <v>25</v>
      </c>
      <c r="B12" s="10">
        <f>SUM(C12:F12)</f>
        <v>0</v>
      </c>
      <c r="C12" s="11"/>
      <c r="D12" s="11"/>
      <c r="E12" s="11"/>
      <c r="F12" s="11"/>
      <c r="G12" s="10">
        <f>SUM(H12:K12)</f>
        <v>0</v>
      </c>
      <c r="H12" s="11"/>
      <c r="I12" s="11"/>
      <c r="J12" s="11"/>
      <c r="K12" s="11"/>
      <c r="L12" s="10">
        <f t="shared" si="8"/>
        <v>0</v>
      </c>
      <c r="M12" s="11"/>
      <c r="N12" s="11"/>
      <c r="O12" s="11"/>
      <c r="P12" s="11"/>
      <c r="Q12" s="11">
        <v>0</v>
      </c>
      <c r="R12" s="11"/>
      <c r="S12" s="11">
        <f>[1]资金情况!D12</f>
        <v>0</v>
      </c>
      <c r="T12" s="11">
        <v>0</v>
      </c>
      <c r="U12" s="17"/>
      <c r="V12" s="11">
        <v>0</v>
      </c>
      <c r="W12" s="11"/>
      <c r="X12" s="11"/>
      <c r="Y12" s="11"/>
      <c r="Z12" s="11"/>
      <c r="AA12" s="11"/>
      <c r="AB12" s="11"/>
      <c r="AD12" s="1">
        <f t="shared" si="5"/>
        <v>0</v>
      </c>
      <c r="AE12" s="21" t="e">
        <f t="shared" si="6"/>
        <v>#DIV/0!</v>
      </c>
      <c r="AF12" s="1">
        <v>577</v>
      </c>
      <c r="AG12" s="1">
        <f t="shared" si="7"/>
        <v>577</v>
      </c>
    </row>
    <row r="13" ht="27" customHeight="1" spans="1:33">
      <c r="A13" s="7" t="s">
        <v>26</v>
      </c>
      <c r="B13" s="10">
        <f t="shared" ref="B13:T13" si="9">SUM(B6:B12)</f>
        <v>47</v>
      </c>
      <c r="C13" s="10">
        <f t="shared" si="9"/>
        <v>34</v>
      </c>
      <c r="D13" s="10">
        <f t="shared" si="9"/>
        <v>3</v>
      </c>
      <c r="E13" s="10">
        <f t="shared" si="9"/>
        <v>0</v>
      </c>
      <c r="F13" s="10">
        <f t="shared" si="9"/>
        <v>10</v>
      </c>
      <c r="G13" s="10">
        <f t="shared" si="9"/>
        <v>113</v>
      </c>
      <c r="H13" s="10">
        <f t="shared" si="9"/>
        <v>102</v>
      </c>
      <c r="I13" s="10">
        <f t="shared" si="9"/>
        <v>3</v>
      </c>
      <c r="J13" s="10">
        <f t="shared" si="9"/>
        <v>0</v>
      </c>
      <c r="K13" s="10">
        <f t="shared" si="9"/>
        <v>8</v>
      </c>
      <c r="L13" s="10">
        <f t="shared" si="9"/>
        <v>14</v>
      </c>
      <c r="M13" s="10">
        <f t="shared" si="9"/>
        <v>7</v>
      </c>
      <c r="N13" s="10">
        <f t="shared" si="9"/>
        <v>0</v>
      </c>
      <c r="O13" s="10">
        <f t="shared" si="9"/>
        <v>0</v>
      </c>
      <c r="P13" s="10">
        <f t="shared" si="9"/>
        <v>7</v>
      </c>
      <c r="Q13" s="10">
        <f t="shared" si="9"/>
        <v>41372</v>
      </c>
      <c r="R13" s="10">
        <f t="shared" si="9"/>
        <v>635</v>
      </c>
      <c r="S13" s="10">
        <f t="shared" si="9"/>
        <v>13211.24</v>
      </c>
      <c r="T13" s="10">
        <f t="shared" si="9"/>
        <v>35444.32</v>
      </c>
      <c r="U13" s="19">
        <f>T13/Q13</f>
        <v>0.856722420961036</v>
      </c>
      <c r="V13" s="10">
        <f t="shared" ref="V13:AB13" si="10">SUM(V6:V12)</f>
        <v>10751.2</v>
      </c>
      <c r="W13" s="10">
        <f t="shared" si="10"/>
        <v>1425</v>
      </c>
      <c r="X13" s="10">
        <f t="shared" si="10"/>
        <v>5371</v>
      </c>
      <c r="Y13" s="10">
        <f t="shared" si="10"/>
        <v>24474.76</v>
      </c>
      <c r="Z13" s="10">
        <f t="shared" si="10"/>
        <v>31568.08</v>
      </c>
      <c r="AA13" s="10">
        <f t="shared" si="10"/>
        <v>77387.96</v>
      </c>
      <c r="AB13" s="10">
        <f t="shared" si="10"/>
        <v>84481.28</v>
      </c>
      <c r="AD13" s="1">
        <f t="shared" si="5"/>
        <v>53548.2</v>
      </c>
      <c r="AE13" s="21">
        <f t="shared" si="6"/>
        <v>0.661914312712659</v>
      </c>
      <c r="AF13" s="1">
        <f>SUM(AF6:AF12)</f>
        <v>42914</v>
      </c>
      <c r="AG13" s="1">
        <f>SUM(AG6:AG12)</f>
        <v>96462.2</v>
      </c>
    </row>
    <row r="14" ht="47" customHeight="1" spans="1:28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</row>
  </sheetData>
  <mergeCells count="13">
    <mergeCell ref="A1:B1"/>
    <mergeCell ref="A2:AB2"/>
    <mergeCell ref="B3:P3"/>
    <mergeCell ref="Q3:AB3"/>
    <mergeCell ref="B4:F4"/>
    <mergeCell ref="G4:K4"/>
    <mergeCell ref="L4:P4"/>
    <mergeCell ref="Q4:U4"/>
    <mergeCell ref="V4:X4"/>
    <mergeCell ref="Y4:Z4"/>
    <mergeCell ref="AA4:AB4"/>
    <mergeCell ref="B14:AB14"/>
    <mergeCell ref="A4:A5"/>
  </mergeCells>
  <printOptions horizontalCentered="1"/>
  <pageMargins left="0.393055555555556" right="0.236111111111111" top="1" bottom="1" header="0.511805555555556" footer="0.511805555555556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view="pageBreakPreview" zoomScaleNormal="85" zoomScaleSheetLayoutView="100" workbookViewId="0">
      <selection activeCell="A2" sqref="A2:X2"/>
    </sheetView>
  </sheetViews>
  <sheetFormatPr defaultColWidth="9" defaultRowHeight="13.5"/>
  <cols>
    <col min="1" max="1" width="13" style="1" customWidth="1"/>
    <col min="2" max="4" width="10.625" style="1" customWidth="1"/>
    <col min="5" max="5" width="10.625" style="1" hidden="1" customWidth="1"/>
    <col min="6" max="9" width="10.625" style="1" customWidth="1"/>
    <col min="10" max="10" width="10.625" style="1" hidden="1" customWidth="1"/>
    <col min="11" max="14" width="10.625" style="1" customWidth="1"/>
    <col min="15" max="17" width="10.2833333333333" style="1" hidden="1" customWidth="1"/>
    <col min="18" max="18" width="9.4" style="1" hidden="1" customWidth="1"/>
    <col min="19" max="20" width="9.375" style="1" hidden="1" customWidth="1"/>
    <col min="21" max="24" width="12.75" style="1" hidden="1" customWidth="1"/>
    <col min="25" max="25" width="9" style="1"/>
    <col min="26" max="26" width="24.375" style="1" customWidth="1"/>
    <col min="27" max="16381" width="9" style="1"/>
    <col min="16382" max="16384" width="9" style="2"/>
  </cols>
  <sheetData>
    <row r="1" ht="24" customHeight="1" spans="1:2">
      <c r="A1" s="3" t="s">
        <v>49</v>
      </c>
      <c r="B1" s="3"/>
    </row>
    <row r="2" ht="50" customHeight="1" spans="1:24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27" customHeight="1" spans="1:24">
      <c r="A3" s="5"/>
      <c r="B3" s="6" t="s">
        <v>51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 t="s">
        <v>4</v>
      </c>
      <c r="P3" s="6"/>
      <c r="Q3" s="6"/>
      <c r="R3" s="6"/>
      <c r="S3" s="6"/>
      <c r="T3" s="6"/>
      <c r="U3" s="6"/>
      <c r="V3" s="6"/>
      <c r="W3" s="6"/>
      <c r="X3" s="6"/>
    </row>
    <row r="4" ht="39" customHeight="1" spans="1:24">
      <c r="A4" s="7" t="s">
        <v>5</v>
      </c>
      <c r="B4" s="7" t="s">
        <v>29</v>
      </c>
      <c r="C4" s="7"/>
      <c r="D4" s="7"/>
      <c r="E4" s="7"/>
      <c r="F4" s="7"/>
      <c r="G4" s="8" t="s">
        <v>30</v>
      </c>
      <c r="H4" s="9"/>
      <c r="I4" s="9"/>
      <c r="J4" s="9"/>
      <c r="K4" s="14"/>
      <c r="L4" s="7" t="s">
        <v>52</v>
      </c>
      <c r="M4" s="7"/>
      <c r="N4" s="7"/>
      <c r="O4" s="8" t="s">
        <v>9</v>
      </c>
      <c r="P4" s="9"/>
      <c r="Q4" s="9"/>
      <c r="R4" s="14"/>
      <c r="S4" s="8" t="s">
        <v>53</v>
      </c>
      <c r="T4" s="14"/>
      <c r="U4" s="16" t="s">
        <v>33</v>
      </c>
      <c r="V4" s="16"/>
      <c r="W4" s="16" t="s">
        <v>34</v>
      </c>
      <c r="X4" s="16"/>
    </row>
    <row r="5" ht="48" customHeight="1" spans="1:24">
      <c r="A5" s="7"/>
      <c r="B5" s="7" t="s">
        <v>10</v>
      </c>
      <c r="C5" s="7" t="s">
        <v>11</v>
      </c>
      <c r="D5" s="7" t="s">
        <v>12</v>
      </c>
      <c r="E5" s="7"/>
      <c r="F5" s="7" t="s">
        <v>13</v>
      </c>
      <c r="G5" s="7" t="s">
        <v>10</v>
      </c>
      <c r="H5" s="7" t="s">
        <v>11</v>
      </c>
      <c r="I5" s="7" t="s">
        <v>12</v>
      </c>
      <c r="J5" s="7" t="s">
        <v>14</v>
      </c>
      <c r="K5" s="7" t="s">
        <v>13</v>
      </c>
      <c r="L5" s="7" t="s">
        <v>10</v>
      </c>
      <c r="M5" s="7" t="s">
        <v>11</v>
      </c>
      <c r="N5" s="7" t="s">
        <v>12</v>
      </c>
      <c r="O5" s="7" t="s">
        <v>54</v>
      </c>
      <c r="P5" s="7" t="s">
        <v>37</v>
      </c>
      <c r="Q5" s="7" t="s">
        <v>38</v>
      </c>
      <c r="R5" s="16" t="s">
        <v>39</v>
      </c>
      <c r="S5" s="7" t="s">
        <v>40</v>
      </c>
      <c r="T5" s="7" t="s">
        <v>41</v>
      </c>
      <c r="U5" s="16" t="s">
        <v>43</v>
      </c>
      <c r="V5" s="16" t="s">
        <v>44</v>
      </c>
      <c r="W5" s="16" t="s">
        <v>43</v>
      </c>
      <c r="X5" s="16" t="s">
        <v>44</v>
      </c>
    </row>
    <row r="6" ht="25" customHeight="1" spans="1:24">
      <c r="A6" s="7" t="s">
        <v>19</v>
      </c>
      <c r="B6" s="10">
        <v>16</v>
      </c>
      <c r="C6" s="11">
        <f>4+1</f>
        <v>5</v>
      </c>
      <c r="D6" s="11">
        <f>2-1</f>
        <v>1</v>
      </c>
      <c r="E6" s="11"/>
      <c r="F6" s="11">
        <f t="shared" ref="F6:F8" si="0">B6-C6-D6</f>
        <v>10</v>
      </c>
      <c r="G6" s="10">
        <v>26</v>
      </c>
      <c r="H6" s="11">
        <v>18</v>
      </c>
      <c r="I6" s="11">
        <v>1</v>
      </c>
      <c r="J6" s="11"/>
      <c r="K6" s="11">
        <f t="shared" ref="K6:K9" si="1">G6-H6-I6</f>
        <v>7</v>
      </c>
      <c r="L6" s="10">
        <v>1</v>
      </c>
      <c r="M6" s="11">
        <v>1</v>
      </c>
      <c r="N6" s="11"/>
      <c r="O6" s="11">
        <v>13182</v>
      </c>
      <c r="P6" s="11">
        <f>[1]资金情况!N6</f>
        <v>3911</v>
      </c>
      <c r="Q6" s="11"/>
      <c r="R6" s="17">
        <f t="shared" ref="R6:R13" si="2">Q6/O6</f>
        <v>0</v>
      </c>
      <c r="S6" s="18">
        <v>585</v>
      </c>
      <c r="T6" s="11"/>
      <c r="U6" s="11"/>
      <c r="V6" s="11">
        <f t="shared" ref="V6:V12" si="3">X6-O6</f>
        <v>8790.6</v>
      </c>
      <c r="W6" s="11"/>
      <c r="X6" s="11">
        <v>21972.6</v>
      </c>
    </row>
    <row r="7" ht="25" customHeight="1" spans="1:24">
      <c r="A7" s="7" t="s">
        <v>20</v>
      </c>
      <c r="B7" s="10">
        <v>4</v>
      </c>
      <c r="C7" s="11">
        <v>1</v>
      </c>
      <c r="D7" s="11"/>
      <c r="E7" s="11"/>
      <c r="F7" s="11">
        <f t="shared" si="0"/>
        <v>3</v>
      </c>
      <c r="G7" s="10">
        <v>38</v>
      </c>
      <c r="H7" s="11">
        <f>1+9+11</f>
        <v>21</v>
      </c>
      <c r="I7" s="11">
        <f>24-9-11</f>
        <v>4</v>
      </c>
      <c r="J7" s="11"/>
      <c r="K7" s="11">
        <f t="shared" si="1"/>
        <v>13</v>
      </c>
      <c r="L7" s="10">
        <f>0+1</f>
        <v>1</v>
      </c>
      <c r="M7" s="11">
        <v>1</v>
      </c>
      <c r="N7" s="11"/>
      <c r="O7" s="11">
        <v>15326</v>
      </c>
      <c r="P7" s="11">
        <f>[1]资金情况!N7</f>
        <v>94.64</v>
      </c>
      <c r="Q7" s="11"/>
      <c r="R7" s="17">
        <f t="shared" si="2"/>
        <v>0</v>
      </c>
      <c r="S7" s="18">
        <v>125</v>
      </c>
      <c r="T7" s="11"/>
      <c r="U7" s="11"/>
      <c r="V7" s="11">
        <f t="shared" si="3"/>
        <v>10219</v>
      </c>
      <c r="W7" s="11"/>
      <c r="X7" s="11">
        <v>25545</v>
      </c>
    </row>
    <row r="8" ht="25" customHeight="1" spans="1:24">
      <c r="A8" s="7" t="s">
        <v>21</v>
      </c>
      <c r="B8" s="10">
        <v>5</v>
      </c>
      <c r="C8" s="11">
        <v>1</v>
      </c>
      <c r="D8" s="11"/>
      <c r="E8" s="11"/>
      <c r="F8" s="11">
        <f t="shared" si="0"/>
        <v>4</v>
      </c>
      <c r="G8" s="10">
        <v>18</v>
      </c>
      <c r="H8" s="11">
        <v>14</v>
      </c>
      <c r="I8" s="11"/>
      <c r="J8" s="11"/>
      <c r="K8" s="11">
        <f t="shared" si="1"/>
        <v>4</v>
      </c>
      <c r="L8" s="10"/>
      <c r="M8" s="11"/>
      <c r="N8" s="11"/>
      <c r="O8" s="11">
        <v>7012</v>
      </c>
      <c r="P8" s="11">
        <f>[1]资金情况!N8</f>
        <v>1443</v>
      </c>
      <c r="Q8" s="11"/>
      <c r="R8" s="17">
        <f t="shared" si="2"/>
        <v>0</v>
      </c>
      <c r="S8" s="18"/>
      <c r="T8" s="11"/>
      <c r="U8" s="11"/>
      <c r="V8" s="11">
        <f t="shared" si="3"/>
        <v>4675</v>
      </c>
      <c r="W8" s="11"/>
      <c r="X8" s="11">
        <v>11687</v>
      </c>
    </row>
    <row r="9" ht="25" customHeight="1" spans="1:24">
      <c r="A9" s="7" t="s">
        <v>22</v>
      </c>
      <c r="B9" s="10">
        <f>0+1</f>
        <v>1</v>
      </c>
      <c r="C9" s="11">
        <v>1</v>
      </c>
      <c r="D9" s="11"/>
      <c r="E9" s="11"/>
      <c r="F9" s="11"/>
      <c r="G9" s="10">
        <v>6</v>
      </c>
      <c r="H9" s="11">
        <f>0+4+1</f>
        <v>5</v>
      </c>
      <c r="I9" s="11"/>
      <c r="J9" s="11"/>
      <c r="K9" s="11">
        <f t="shared" si="1"/>
        <v>1</v>
      </c>
      <c r="L9" s="10"/>
      <c r="M9" s="11"/>
      <c r="N9" s="11"/>
      <c r="O9" s="11">
        <v>2262</v>
      </c>
      <c r="P9" s="11">
        <f>[1]资金情况!N9</f>
        <v>312</v>
      </c>
      <c r="Q9" s="11">
        <v>1872</v>
      </c>
      <c r="R9" s="17">
        <f t="shared" si="2"/>
        <v>0.827586206896552</v>
      </c>
      <c r="S9" s="18"/>
      <c r="T9" s="11"/>
      <c r="U9" s="11"/>
      <c r="V9" s="11">
        <f t="shared" si="3"/>
        <v>1508</v>
      </c>
      <c r="W9" s="11"/>
      <c r="X9" s="11">
        <v>3770</v>
      </c>
    </row>
    <row r="10" ht="25" customHeight="1" spans="1:24">
      <c r="A10" s="7" t="s">
        <v>23</v>
      </c>
      <c r="B10" s="10">
        <v>1</v>
      </c>
      <c r="C10" s="11">
        <v>1</v>
      </c>
      <c r="D10" s="11"/>
      <c r="E10" s="11"/>
      <c r="F10" s="11"/>
      <c r="G10" s="10">
        <f>8+2</f>
        <v>10</v>
      </c>
      <c r="H10" s="11">
        <f>3+5+2</f>
        <v>10</v>
      </c>
      <c r="I10" s="11"/>
      <c r="J10" s="11"/>
      <c r="K10" s="11"/>
      <c r="L10" s="10"/>
      <c r="M10" s="11"/>
      <c r="N10" s="11"/>
      <c r="O10" s="11">
        <v>3190</v>
      </c>
      <c r="P10" s="11">
        <f>[1]资金情况!N10</f>
        <v>2714</v>
      </c>
      <c r="Q10" s="11">
        <v>1208</v>
      </c>
      <c r="R10" s="17">
        <f t="shared" si="2"/>
        <v>0.378683385579937</v>
      </c>
      <c r="S10" s="18"/>
      <c r="T10" s="11"/>
      <c r="U10" s="11"/>
      <c r="V10" s="11">
        <f t="shared" si="3"/>
        <v>2127</v>
      </c>
      <c r="W10" s="11"/>
      <c r="X10" s="11">
        <v>5317</v>
      </c>
    </row>
    <row r="11" ht="25" customHeight="1" spans="1:24">
      <c r="A11" s="7" t="s">
        <v>24</v>
      </c>
      <c r="B11" s="10"/>
      <c r="C11" s="11"/>
      <c r="D11" s="11"/>
      <c r="E11" s="11"/>
      <c r="F11" s="11"/>
      <c r="G11" s="10">
        <v>4</v>
      </c>
      <c r="H11" s="11">
        <f>1+1</f>
        <v>2</v>
      </c>
      <c r="I11" s="11"/>
      <c r="J11" s="11"/>
      <c r="K11" s="11">
        <f>G11-H11-I11</f>
        <v>2</v>
      </c>
      <c r="L11" s="10"/>
      <c r="M11" s="11"/>
      <c r="N11" s="11"/>
      <c r="O11" s="11">
        <v>1365</v>
      </c>
      <c r="P11" s="11">
        <f>[1]资金情况!N11</f>
        <v>346</v>
      </c>
      <c r="Q11" s="11"/>
      <c r="R11" s="17">
        <f t="shared" si="2"/>
        <v>0</v>
      </c>
      <c r="S11" s="18"/>
      <c r="T11" s="11"/>
      <c r="U11" s="11"/>
      <c r="V11" s="11">
        <f t="shared" si="3"/>
        <v>910</v>
      </c>
      <c r="W11" s="11"/>
      <c r="X11" s="11">
        <v>2275</v>
      </c>
    </row>
    <row r="12" ht="25" customHeight="1" spans="1:24">
      <c r="A12" s="7" t="s">
        <v>25</v>
      </c>
      <c r="B12" s="10">
        <v>1</v>
      </c>
      <c r="C12" s="11">
        <v>1</v>
      </c>
      <c r="D12" s="11"/>
      <c r="E12" s="11"/>
      <c r="F12" s="11"/>
      <c r="G12" s="10">
        <v>1</v>
      </c>
      <c r="H12" s="11">
        <v>1</v>
      </c>
      <c r="I12" s="11"/>
      <c r="J12" s="11"/>
      <c r="K12" s="11"/>
      <c r="L12" s="10"/>
      <c r="M12" s="11"/>
      <c r="N12" s="11"/>
      <c r="O12" s="11">
        <v>577</v>
      </c>
      <c r="P12" s="11">
        <f>[1]资金情况!N12</f>
        <v>190</v>
      </c>
      <c r="Q12" s="11"/>
      <c r="R12" s="17">
        <f t="shared" si="2"/>
        <v>0</v>
      </c>
      <c r="S12" s="18">
        <v>125</v>
      </c>
      <c r="T12" s="11"/>
      <c r="U12" s="11"/>
      <c r="V12" s="11">
        <f t="shared" si="3"/>
        <v>385</v>
      </c>
      <c r="W12" s="11"/>
      <c r="X12" s="11">
        <v>962</v>
      </c>
    </row>
    <row r="13" ht="25" customHeight="1" spans="1:24">
      <c r="A13" s="7" t="s">
        <v>26</v>
      </c>
      <c r="B13" s="10">
        <f t="shared" ref="B13:Q13" si="4">SUM(B6:B12)</f>
        <v>28</v>
      </c>
      <c r="C13" s="10">
        <f t="shared" si="4"/>
        <v>10</v>
      </c>
      <c r="D13" s="10">
        <f t="shared" si="4"/>
        <v>1</v>
      </c>
      <c r="E13" s="10">
        <f t="shared" si="4"/>
        <v>0</v>
      </c>
      <c r="F13" s="10">
        <f t="shared" si="4"/>
        <v>17</v>
      </c>
      <c r="G13" s="10">
        <f t="shared" si="4"/>
        <v>103</v>
      </c>
      <c r="H13" s="10">
        <f t="shared" si="4"/>
        <v>71</v>
      </c>
      <c r="I13" s="10">
        <f t="shared" si="4"/>
        <v>5</v>
      </c>
      <c r="J13" s="10">
        <f t="shared" si="4"/>
        <v>0</v>
      </c>
      <c r="K13" s="10">
        <f t="shared" si="4"/>
        <v>27</v>
      </c>
      <c r="L13" s="10">
        <f t="shared" si="4"/>
        <v>2</v>
      </c>
      <c r="M13" s="10">
        <f t="shared" si="4"/>
        <v>2</v>
      </c>
      <c r="N13" s="10">
        <f t="shared" si="4"/>
        <v>0</v>
      </c>
      <c r="O13" s="10">
        <f t="shared" si="4"/>
        <v>42914</v>
      </c>
      <c r="P13" s="10">
        <f t="shared" si="4"/>
        <v>9010.64</v>
      </c>
      <c r="Q13" s="10">
        <f t="shared" si="4"/>
        <v>3080</v>
      </c>
      <c r="R13" s="19">
        <f t="shared" si="2"/>
        <v>0.0717714498764972</v>
      </c>
      <c r="S13" s="20">
        <f t="shared" ref="S13:X13" si="5">SUM(S6:S12)</f>
        <v>835</v>
      </c>
      <c r="T13" s="10">
        <f t="shared" si="5"/>
        <v>0</v>
      </c>
      <c r="U13" s="10">
        <f t="shared" si="5"/>
        <v>0</v>
      </c>
      <c r="V13" s="10">
        <f t="shared" si="5"/>
        <v>28614.6</v>
      </c>
      <c r="W13" s="10">
        <f t="shared" si="5"/>
        <v>0</v>
      </c>
      <c r="X13" s="10">
        <f t="shared" si="5"/>
        <v>71528.6</v>
      </c>
    </row>
    <row r="14" ht="47" customHeight="1" spans="1:24">
      <c r="A14" s="12" t="s">
        <v>55</v>
      </c>
      <c r="B14" s="13" t="s">
        <v>56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31" customHeight="1"/>
  </sheetData>
  <mergeCells count="13">
    <mergeCell ref="A1:B1"/>
    <mergeCell ref="A2:X2"/>
    <mergeCell ref="B3:N3"/>
    <mergeCell ref="O3:X3"/>
    <mergeCell ref="B4:F4"/>
    <mergeCell ref="G4:K4"/>
    <mergeCell ref="L4:N4"/>
    <mergeCell ref="O4:R4"/>
    <mergeCell ref="S4:T4"/>
    <mergeCell ref="U4:V4"/>
    <mergeCell ref="W4:X4"/>
    <mergeCell ref="B14:X14"/>
    <mergeCell ref="A4:A5"/>
  </mergeCells>
  <printOptions horizontalCentered="1"/>
  <pageMargins left="0.393055555555556" right="0.236111111111111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view="pageBreakPreview" zoomScaleNormal="85" zoomScaleSheetLayoutView="100" workbookViewId="0">
      <selection activeCell="A2" sqref="A2:W2"/>
    </sheetView>
  </sheetViews>
  <sheetFormatPr defaultColWidth="9" defaultRowHeight="13.5"/>
  <cols>
    <col min="1" max="1" width="12.625" style="1" customWidth="1"/>
    <col min="2" max="14" width="9.875" style="1" customWidth="1"/>
    <col min="15" max="16" width="10.2833333333333" style="1" hidden="1" customWidth="1"/>
    <col min="17" max="17" width="9.4" style="1" hidden="1" customWidth="1"/>
    <col min="18" max="19" width="9.375" style="1" hidden="1" customWidth="1"/>
    <col min="20" max="23" width="12.75" style="1" hidden="1" customWidth="1"/>
    <col min="24" max="24" width="9" style="1"/>
    <col min="25" max="25" width="18.125" style="1" customWidth="1"/>
    <col min="26" max="16380" width="9" style="1"/>
    <col min="16381" max="16384" width="9" style="2"/>
  </cols>
  <sheetData>
    <row r="1" ht="24" customHeight="1" spans="1:2">
      <c r="A1" s="3" t="s">
        <v>57</v>
      </c>
      <c r="B1" s="3"/>
    </row>
    <row r="2" ht="49" customHeight="1" spans="1:23">
      <c r="A2" s="4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26" customHeight="1" spans="1:24">
      <c r="A3" s="5"/>
      <c r="B3" s="6" t="s">
        <v>51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 t="s">
        <v>4</v>
      </c>
      <c r="P3" s="6"/>
      <c r="Q3" s="6"/>
      <c r="R3" s="6"/>
      <c r="S3" s="6"/>
      <c r="T3" s="6"/>
      <c r="U3" s="6"/>
      <c r="V3" s="6"/>
      <c r="W3" s="6"/>
      <c r="X3" s="15"/>
    </row>
    <row r="4" ht="37" customHeight="1" spans="1:23">
      <c r="A4" s="7" t="s">
        <v>5</v>
      </c>
      <c r="B4" s="7" t="s">
        <v>29</v>
      </c>
      <c r="C4" s="7"/>
      <c r="D4" s="7"/>
      <c r="E4" s="7"/>
      <c r="F4" s="7"/>
      <c r="G4" s="8" t="s">
        <v>30</v>
      </c>
      <c r="H4" s="9"/>
      <c r="I4" s="9"/>
      <c r="J4" s="9"/>
      <c r="K4" s="14"/>
      <c r="L4" s="7" t="s">
        <v>52</v>
      </c>
      <c r="M4" s="7"/>
      <c r="N4" s="7"/>
      <c r="O4" s="8" t="s">
        <v>9</v>
      </c>
      <c r="P4" s="9"/>
      <c r="Q4" s="14"/>
      <c r="R4" s="8" t="s">
        <v>53</v>
      </c>
      <c r="S4" s="14"/>
      <c r="T4" s="16" t="s">
        <v>33</v>
      </c>
      <c r="U4" s="16"/>
      <c r="V4" s="16" t="s">
        <v>34</v>
      </c>
      <c r="W4" s="16"/>
    </row>
    <row r="5" ht="40" customHeight="1" spans="1:23">
      <c r="A5" s="7"/>
      <c r="B5" s="7" t="s">
        <v>10</v>
      </c>
      <c r="C5" s="7" t="s">
        <v>11</v>
      </c>
      <c r="D5" s="7" t="s">
        <v>12</v>
      </c>
      <c r="E5" s="7" t="s">
        <v>14</v>
      </c>
      <c r="F5" s="7" t="s">
        <v>59</v>
      </c>
      <c r="G5" s="7" t="s">
        <v>10</v>
      </c>
      <c r="H5" s="7" t="s">
        <v>11</v>
      </c>
      <c r="I5" s="7" t="s">
        <v>12</v>
      </c>
      <c r="J5" s="7" t="s">
        <v>14</v>
      </c>
      <c r="K5" s="7" t="s">
        <v>59</v>
      </c>
      <c r="L5" s="7" t="s">
        <v>10</v>
      </c>
      <c r="M5" s="7" t="s">
        <v>60</v>
      </c>
      <c r="N5" s="7" t="s">
        <v>61</v>
      </c>
      <c r="O5" s="7" t="s">
        <v>54</v>
      </c>
      <c r="P5" s="7" t="s">
        <v>38</v>
      </c>
      <c r="Q5" s="16" t="s">
        <v>39</v>
      </c>
      <c r="R5" s="7" t="s">
        <v>40</v>
      </c>
      <c r="S5" s="7" t="s">
        <v>41</v>
      </c>
      <c r="T5" s="16" t="s">
        <v>43</v>
      </c>
      <c r="U5" s="16" t="s">
        <v>44</v>
      </c>
      <c r="V5" s="16" t="s">
        <v>43</v>
      </c>
      <c r="W5" s="16" t="s">
        <v>44</v>
      </c>
    </row>
    <row r="6" ht="25" customHeight="1" spans="1:23">
      <c r="A6" s="7" t="s">
        <v>19</v>
      </c>
      <c r="B6" s="10">
        <v>26</v>
      </c>
      <c r="C6" s="11"/>
      <c r="D6" s="11"/>
      <c r="E6" s="11">
        <f t="shared" ref="E6:E12" si="0">B6-C6-D6-F6</f>
        <v>26</v>
      </c>
      <c r="F6" s="11"/>
      <c r="G6" s="10">
        <v>46</v>
      </c>
      <c r="H6" s="11"/>
      <c r="I6" s="11"/>
      <c r="J6" s="11">
        <f t="shared" ref="J6:J12" si="1">G6-H6-I6-K6</f>
        <v>46</v>
      </c>
      <c r="K6" s="11"/>
      <c r="L6" s="10">
        <v>5</v>
      </c>
      <c r="M6" s="11"/>
      <c r="N6" s="11"/>
      <c r="O6" s="11">
        <f>[1]资金情况!U6</f>
        <v>14271</v>
      </c>
      <c r="P6" s="11">
        <f>[1]资金情况!V6</f>
        <v>240</v>
      </c>
      <c r="Q6" s="17">
        <f t="shared" ref="Q6:Q13" si="2">P6/O6</f>
        <v>0.0168173218414967</v>
      </c>
      <c r="R6" s="18"/>
      <c r="S6" s="11"/>
      <c r="T6" s="11"/>
      <c r="U6" s="11">
        <f t="shared" ref="U6:U12" si="3">W6-O6</f>
        <v>7701.6</v>
      </c>
      <c r="V6" s="11"/>
      <c r="W6" s="11">
        <v>21972.6</v>
      </c>
    </row>
    <row r="7" ht="25" customHeight="1" spans="1:23">
      <c r="A7" s="7" t="s">
        <v>20</v>
      </c>
      <c r="B7" s="10">
        <v>10</v>
      </c>
      <c r="C7" s="11"/>
      <c r="D7" s="11"/>
      <c r="E7" s="11">
        <f t="shared" si="0"/>
        <v>10</v>
      </c>
      <c r="F7" s="11"/>
      <c r="G7" s="10">
        <v>23</v>
      </c>
      <c r="H7" s="11"/>
      <c r="I7" s="11"/>
      <c r="J7" s="11">
        <f t="shared" si="1"/>
        <v>23</v>
      </c>
      <c r="K7" s="11"/>
      <c r="L7" s="10">
        <f>0+1</f>
        <v>1</v>
      </c>
      <c r="M7" s="11"/>
      <c r="N7" s="11"/>
      <c r="O7" s="11">
        <f>[1]资金情况!U7</f>
        <v>6626</v>
      </c>
      <c r="P7" s="11">
        <f>[1]资金情况!V7</f>
        <v>84</v>
      </c>
      <c r="Q7" s="17">
        <f t="shared" si="2"/>
        <v>0.0126773317235134</v>
      </c>
      <c r="R7" s="18"/>
      <c r="S7" s="11"/>
      <c r="T7" s="11"/>
      <c r="U7" s="11">
        <f t="shared" si="3"/>
        <v>18919</v>
      </c>
      <c r="V7" s="11"/>
      <c r="W7" s="11">
        <v>25545</v>
      </c>
    </row>
    <row r="8" ht="25" customHeight="1" spans="1:23">
      <c r="A8" s="7" t="s">
        <v>21</v>
      </c>
      <c r="B8" s="10">
        <v>7</v>
      </c>
      <c r="C8" s="11"/>
      <c r="D8" s="11"/>
      <c r="E8" s="11">
        <f t="shared" si="0"/>
        <v>7</v>
      </c>
      <c r="F8" s="11"/>
      <c r="G8" s="10">
        <v>12</v>
      </c>
      <c r="H8" s="11"/>
      <c r="I8" s="11"/>
      <c r="J8" s="11">
        <f t="shared" si="1"/>
        <v>12</v>
      </c>
      <c r="K8" s="11"/>
      <c r="L8" s="10"/>
      <c r="M8" s="11"/>
      <c r="N8" s="11"/>
      <c r="O8" s="11">
        <f>[1]资金情况!U8</f>
        <v>3642</v>
      </c>
      <c r="P8" s="11">
        <f>[1]资金情况!V8</f>
        <v>240</v>
      </c>
      <c r="Q8" s="17">
        <f t="shared" si="2"/>
        <v>0.0658978583196046</v>
      </c>
      <c r="R8" s="18"/>
      <c r="S8" s="11"/>
      <c r="T8" s="11"/>
      <c r="U8" s="11">
        <f t="shared" si="3"/>
        <v>8045</v>
      </c>
      <c r="V8" s="11"/>
      <c r="W8" s="11">
        <v>11687</v>
      </c>
    </row>
    <row r="9" ht="25" customHeight="1" spans="1:23">
      <c r="A9" s="7" t="s">
        <v>22</v>
      </c>
      <c r="B9" s="10">
        <v>5</v>
      </c>
      <c r="C9" s="11"/>
      <c r="D9" s="11"/>
      <c r="E9" s="11">
        <f t="shared" si="0"/>
        <v>5</v>
      </c>
      <c r="F9" s="11"/>
      <c r="G9" s="10">
        <v>14</v>
      </c>
      <c r="H9" s="11"/>
      <c r="I9" s="11"/>
      <c r="J9" s="11">
        <f t="shared" si="1"/>
        <v>14</v>
      </c>
      <c r="K9" s="11"/>
      <c r="L9" s="10"/>
      <c r="M9" s="11"/>
      <c r="N9" s="11"/>
      <c r="O9" s="11">
        <f>[1]资金情况!U9</f>
        <v>3690</v>
      </c>
      <c r="P9" s="11">
        <f>[1]资金情况!V9</f>
        <v>0</v>
      </c>
      <c r="Q9" s="17">
        <f t="shared" si="2"/>
        <v>0</v>
      </c>
      <c r="R9" s="18"/>
      <c r="S9" s="11"/>
      <c r="T9" s="11"/>
      <c r="U9" s="11">
        <f t="shared" si="3"/>
        <v>80</v>
      </c>
      <c r="V9" s="11"/>
      <c r="W9" s="11">
        <v>3770</v>
      </c>
    </row>
    <row r="10" ht="25" customHeight="1" spans="1:23">
      <c r="A10" s="7" t="s">
        <v>23</v>
      </c>
      <c r="B10" s="10">
        <v>2</v>
      </c>
      <c r="C10" s="11"/>
      <c r="D10" s="11"/>
      <c r="E10" s="11">
        <f t="shared" si="0"/>
        <v>2</v>
      </c>
      <c r="F10" s="11"/>
      <c r="G10" s="10">
        <v>6</v>
      </c>
      <c r="H10" s="11"/>
      <c r="I10" s="11"/>
      <c r="J10" s="11">
        <f t="shared" si="1"/>
        <v>6</v>
      </c>
      <c r="K10" s="11"/>
      <c r="L10" s="10"/>
      <c r="M10" s="11"/>
      <c r="N10" s="11"/>
      <c r="O10" s="11">
        <f>[1]资金情况!U10</f>
        <v>1638</v>
      </c>
      <c r="P10" s="11">
        <f>[1]资金情况!V10</f>
        <v>0</v>
      </c>
      <c r="Q10" s="17">
        <f t="shared" si="2"/>
        <v>0</v>
      </c>
      <c r="R10" s="18"/>
      <c r="S10" s="11"/>
      <c r="T10" s="11"/>
      <c r="U10" s="11">
        <f t="shared" si="3"/>
        <v>3679</v>
      </c>
      <c r="V10" s="11"/>
      <c r="W10" s="11">
        <v>5317</v>
      </c>
    </row>
    <row r="11" ht="25" customHeight="1" spans="1:23">
      <c r="A11" s="7" t="s">
        <v>24</v>
      </c>
      <c r="B11" s="10">
        <v>0</v>
      </c>
      <c r="C11" s="11"/>
      <c r="D11" s="11"/>
      <c r="E11" s="11">
        <f t="shared" si="0"/>
        <v>0</v>
      </c>
      <c r="F11" s="11"/>
      <c r="G11" s="10">
        <v>3</v>
      </c>
      <c r="H11" s="11"/>
      <c r="I11" s="11"/>
      <c r="J11" s="11">
        <f t="shared" si="1"/>
        <v>3</v>
      </c>
      <c r="K11" s="11"/>
      <c r="L11" s="10"/>
      <c r="M11" s="11"/>
      <c r="N11" s="11"/>
      <c r="O11" s="11">
        <f>[1]资金情况!U11</f>
        <v>660</v>
      </c>
      <c r="P11" s="11">
        <f>[1]资金情况!V11</f>
        <v>0</v>
      </c>
      <c r="Q11" s="17">
        <f t="shared" si="2"/>
        <v>0</v>
      </c>
      <c r="R11" s="18"/>
      <c r="S11" s="11"/>
      <c r="T11" s="11"/>
      <c r="U11" s="11">
        <f t="shared" si="3"/>
        <v>1615</v>
      </c>
      <c r="V11" s="11"/>
      <c r="W11" s="11">
        <v>2275</v>
      </c>
    </row>
    <row r="12" ht="25" customHeight="1" spans="1:23">
      <c r="A12" s="7" t="s">
        <v>25</v>
      </c>
      <c r="B12" s="10">
        <v>4</v>
      </c>
      <c r="C12" s="11"/>
      <c r="D12" s="11"/>
      <c r="E12" s="11">
        <f t="shared" si="0"/>
        <v>4</v>
      </c>
      <c r="F12" s="11"/>
      <c r="G12" s="10">
        <v>6</v>
      </c>
      <c r="H12" s="11"/>
      <c r="I12" s="11"/>
      <c r="J12" s="11">
        <f t="shared" si="1"/>
        <v>6</v>
      </c>
      <c r="K12" s="11"/>
      <c r="L12" s="10"/>
      <c r="M12" s="11"/>
      <c r="N12" s="11"/>
      <c r="O12" s="11">
        <f>[1]资金情况!U12</f>
        <v>1831</v>
      </c>
      <c r="P12" s="11">
        <f>[1]资金情况!V12</f>
        <v>240</v>
      </c>
      <c r="Q12" s="17">
        <f t="shared" si="2"/>
        <v>0.131075914800655</v>
      </c>
      <c r="R12" s="18"/>
      <c r="S12" s="11"/>
      <c r="T12" s="11"/>
      <c r="U12" s="11">
        <f t="shared" si="3"/>
        <v>-869</v>
      </c>
      <c r="V12" s="11"/>
      <c r="W12" s="11">
        <v>962</v>
      </c>
    </row>
    <row r="13" ht="25" customHeight="1" spans="1:23">
      <c r="A13" s="7" t="s">
        <v>26</v>
      </c>
      <c r="B13" s="10">
        <f t="shared" ref="B13:P13" si="4">SUM(B6:B12)</f>
        <v>54</v>
      </c>
      <c r="C13" s="10">
        <f t="shared" si="4"/>
        <v>0</v>
      </c>
      <c r="D13" s="10">
        <f t="shared" si="4"/>
        <v>0</v>
      </c>
      <c r="E13" s="10">
        <f t="shared" si="4"/>
        <v>54</v>
      </c>
      <c r="F13" s="10">
        <f t="shared" si="4"/>
        <v>0</v>
      </c>
      <c r="G13" s="10">
        <f t="shared" si="4"/>
        <v>110</v>
      </c>
      <c r="H13" s="10">
        <f t="shared" si="4"/>
        <v>0</v>
      </c>
      <c r="I13" s="10">
        <f t="shared" si="4"/>
        <v>0</v>
      </c>
      <c r="J13" s="10">
        <f t="shared" si="4"/>
        <v>110</v>
      </c>
      <c r="K13" s="10">
        <f t="shared" si="4"/>
        <v>0</v>
      </c>
      <c r="L13" s="10">
        <f t="shared" si="4"/>
        <v>6</v>
      </c>
      <c r="M13" s="10">
        <f t="shared" si="4"/>
        <v>0</v>
      </c>
      <c r="N13" s="10">
        <f t="shared" si="4"/>
        <v>0</v>
      </c>
      <c r="O13" s="10">
        <f t="shared" si="4"/>
        <v>32358</v>
      </c>
      <c r="P13" s="10">
        <f t="shared" si="4"/>
        <v>804</v>
      </c>
      <c r="Q13" s="19">
        <f t="shared" si="2"/>
        <v>0.0248470239198962</v>
      </c>
      <c r="R13" s="20">
        <f t="shared" ref="R13:W13" si="5">SUM(R6:R12)</f>
        <v>0</v>
      </c>
      <c r="S13" s="10">
        <f t="shared" si="5"/>
        <v>0</v>
      </c>
      <c r="T13" s="10">
        <f t="shared" si="5"/>
        <v>0</v>
      </c>
      <c r="U13" s="10">
        <f t="shared" si="5"/>
        <v>39170.6</v>
      </c>
      <c r="V13" s="10">
        <f t="shared" si="5"/>
        <v>0</v>
      </c>
      <c r="W13" s="10">
        <f t="shared" si="5"/>
        <v>71528.6</v>
      </c>
    </row>
    <row r="14" ht="47" customHeight="1" spans="1:23">
      <c r="A14" s="12" t="s">
        <v>55</v>
      </c>
      <c r="B14" s="13" t="s">
        <v>62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31" customHeight="1"/>
  </sheetData>
  <mergeCells count="13">
    <mergeCell ref="A1:B1"/>
    <mergeCell ref="A2:W2"/>
    <mergeCell ref="B3:N3"/>
    <mergeCell ref="O3:W3"/>
    <mergeCell ref="B4:F4"/>
    <mergeCell ref="G4:K4"/>
    <mergeCell ref="L4:N4"/>
    <mergeCell ref="O4:Q4"/>
    <mergeCell ref="R4:S4"/>
    <mergeCell ref="T4:U4"/>
    <mergeCell ref="V4:W4"/>
    <mergeCell ref="B14:W14"/>
    <mergeCell ref="A4:A5"/>
  </mergeCells>
  <printOptions horizontalCentered="1"/>
  <pageMargins left="0.393055555555556" right="0.236111111111111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项目情况 合计)</vt:lpstr>
      <vt:lpstr>项目情况 2017</vt:lpstr>
      <vt:lpstr>项目情况 2018--2</vt:lpstr>
      <vt:lpstr>项目情况 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若念，请问。</cp:lastModifiedBy>
  <dcterms:created xsi:type="dcterms:W3CDTF">2019-05-09T08:09:00Z</dcterms:created>
  <dcterms:modified xsi:type="dcterms:W3CDTF">2019-05-17T06:37:04Z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